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120" windowHeight="8910" activeTab="0"/>
  </bookViews>
  <sheets>
    <sheet name="Title -L18- smaller-the-better" sheetId="1" r:id="rId1"/>
    <sheet name="Steps (#1-#5) in Taguchi Method" sheetId="2" r:id="rId2"/>
    <sheet name="Qual char &amp; S-N Ratio &amp;repeatNo" sheetId="3" r:id="rId3"/>
    <sheet name="Control-NoIsE Factors &amp; Levels" sheetId="4" r:id="rId4"/>
    <sheet name="L18-ARRAY" sheetId="5" r:id="rId5"/>
    <sheet name="Experimenter's Log &quot;L18-ARRAY&quot;" sheetId="6" r:id="rId6"/>
    <sheet name="Input measured data" sheetId="7" r:id="rId7"/>
    <sheet name="Copy Data &amp; calc S-N Ratio QC-B" sheetId="8" r:id="rId8"/>
    <sheet name="Main Effects &amp; &quot;AXB&quot;" sheetId="9" r:id="rId9"/>
    <sheet name="Chart- Factor Effect Plot(EDIT)" sheetId="10" r:id="rId10"/>
    <sheet name="Chart- Factor Effect (NON-EDIT)" sheetId="11" r:id="rId11"/>
    <sheet name="ANOVA -smaller-the-Better " sheetId="12" r:id="rId12"/>
    <sheet name="PREDICT  S-N  for any settings" sheetId="13" r:id="rId13"/>
    <sheet name="Interactions" sheetId="14" r:id="rId14"/>
  </sheets>
  <definedNames>
    <definedName name="Z_23C9000A_8CA7_11D5_974F_00105A9CBDA5_.wvu.Cols" localSheetId="8" hidden="1">'Main Effects &amp; "AXB"'!$D:$D,'Main Effects &amp; "AXB"'!$M:$T</definedName>
    <definedName name="Z_23C9000A_8CA7_11D5_974F_00105A9CBDA5_.wvu.Cols" localSheetId="12" hidden="1">'PREDICT  S-N  for any settings'!$O:$V</definedName>
    <definedName name="Z_23C9000A_8CA7_11D5_974F_00105A9CBDA5_.wvu.Rows" localSheetId="11" hidden="1">'ANOVA -smaller-the-Better '!$6:$7</definedName>
    <definedName name="Z_23C9000A_8CA7_11D5_974F_00105A9CBDA5_.wvu.Rows" localSheetId="12" hidden="1">'PREDICT  S-N  for any settings'!$5:$24</definedName>
  </definedNames>
  <calcPr fullCalcOnLoad="1"/>
</workbook>
</file>

<file path=xl/sharedStrings.xml><?xml version="1.0" encoding="utf-8"?>
<sst xmlns="http://schemas.openxmlformats.org/spreadsheetml/2006/main" count="350" uniqueCount="222">
  <si>
    <t>TESTS</t>
  </si>
  <si>
    <t>A</t>
  </si>
  <si>
    <t>B</t>
  </si>
  <si>
    <t>C</t>
  </si>
  <si>
    <t>D</t>
  </si>
  <si>
    <t>E</t>
  </si>
  <si>
    <t>F</t>
  </si>
  <si>
    <t>G</t>
  </si>
  <si>
    <t>Main Effects</t>
  </si>
  <si>
    <t>Sum</t>
  </si>
  <si>
    <t xml:space="preserve">   </t>
  </si>
  <si>
    <t>START DATE</t>
  </si>
  <si>
    <t>TODAY</t>
  </si>
  <si>
    <t>STEP 1: Identify Main Function, failure mode and side effects</t>
  </si>
  <si>
    <t>STEP 3: Identify Quality Characteristics and Objective Function</t>
  </si>
  <si>
    <t>STEP 4: Identify Control Factors and their Levels</t>
  </si>
  <si>
    <t>Smaller-the-better</t>
  </si>
  <si>
    <t>Nominal-the-Best</t>
  </si>
  <si>
    <t>Larger-the-Better</t>
  </si>
  <si>
    <t>LEVELS</t>
  </si>
  <si>
    <t xml:space="preserve">Control Factors Assigned to columns                  </t>
  </si>
  <si>
    <t>Expt. No.</t>
  </si>
  <si>
    <t>Feed the data in these rows and columns</t>
  </si>
  <si>
    <t>You can have upto 16 measurements per expt</t>
  </si>
  <si>
    <t>Mean</t>
  </si>
  <si>
    <t>Variance</t>
  </si>
  <si>
    <t>SN Ratio (Nominal-the-Best)</t>
  </si>
  <si>
    <t>Mean Sum of Squares</t>
  </si>
  <si>
    <t>SN Ratio (smaller-the-Better)</t>
  </si>
  <si>
    <t>Sum of Squares of reciprocals</t>
  </si>
  <si>
    <t>SN Ratio (Larger-the-Better)</t>
  </si>
  <si>
    <t xml:space="preserve">Repetitions or Measurements for each expt. </t>
  </si>
  <si>
    <t>Factor-Effects</t>
  </si>
  <si>
    <t>OV-Mean</t>
  </si>
  <si>
    <t>L18 Array</t>
  </si>
  <si>
    <t>Control  Factors</t>
  </si>
  <si>
    <t>H</t>
  </si>
  <si>
    <t>L18 Array is always the same and              hence no need to change this - EVER</t>
  </si>
  <si>
    <t>S/N Ratio (Mean)</t>
  </si>
  <si>
    <t>Degrees of Freedom</t>
  </si>
  <si>
    <t>Sum of Squares</t>
  </si>
  <si>
    <t>Mean Square</t>
  </si>
  <si>
    <t>OV-MEAN</t>
  </si>
  <si>
    <t>Total sum of Squares due to Factor Effects</t>
  </si>
  <si>
    <t>Total SSQ</t>
  </si>
  <si>
    <t>GrandTotal</t>
  </si>
  <si>
    <t>Total sum of Squares = grand Total - 18*mean sq</t>
  </si>
  <si>
    <t>Temperature</t>
  </si>
  <si>
    <t>Pressure</t>
  </si>
  <si>
    <t>Nitrogen</t>
  </si>
  <si>
    <t>Silane</t>
  </si>
  <si>
    <t>Cleaning Method</t>
  </si>
  <si>
    <t>Total Error</t>
  </si>
  <si>
    <t>F before pooling</t>
  </si>
  <si>
    <t>F    After pooling</t>
  </si>
  <si>
    <t>Column #1</t>
  </si>
  <si>
    <t>Column #2</t>
  </si>
  <si>
    <t>Column #3</t>
  </si>
  <si>
    <t>Column #4</t>
  </si>
  <si>
    <t>Column #5</t>
  </si>
  <si>
    <t>Column #6</t>
  </si>
  <si>
    <t>Column #7</t>
  </si>
  <si>
    <t>Column #8</t>
  </si>
  <si>
    <t>% Factor Effect</t>
  </si>
  <si>
    <t>E1 X T1</t>
  </si>
  <si>
    <t>E1 X T2</t>
  </si>
  <si>
    <t>E1 X T3</t>
  </si>
  <si>
    <t>E2 X T1</t>
  </si>
  <si>
    <t>E2 X T2</t>
  </si>
  <si>
    <t>E2 X T3</t>
  </si>
  <si>
    <t>E1T1</t>
  </si>
  <si>
    <t>E1T2</t>
  </si>
  <si>
    <t>E1T3</t>
  </si>
  <si>
    <t>E2T1</t>
  </si>
  <si>
    <t>E2T2</t>
  </si>
  <si>
    <t>E2T3</t>
  </si>
  <si>
    <t>Interaction between  Column  #1  and  Column  #2</t>
  </si>
  <si>
    <t>Initial Settling time</t>
  </si>
  <si>
    <t>Ov-Mean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</si>
  <si>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</si>
  <si>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</si>
  <si>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</si>
  <si>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</si>
  <si>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</si>
  <si>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</si>
  <si>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</si>
  <si>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</si>
  <si>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L18 ASSIGNMENT</t>
  </si>
  <si>
    <t>SELECT</t>
  </si>
  <si>
    <t>S/N Ratio</t>
  </si>
  <si>
    <t>95% confidence interval for pred. err = +-2*sqrt(pred err) =</t>
  </si>
  <si>
    <t>to</t>
  </si>
  <si>
    <t xml:space="preserve">Blanks will not affect the results of mean, Variance and SN Ratio </t>
  </si>
  <si>
    <t>Opt Level</t>
  </si>
  <si>
    <t>Dev. From Mean</t>
  </si>
  <si>
    <t>Factor Effect (percent)</t>
  </si>
  <si>
    <t>empty</t>
  </si>
  <si>
    <t>Number of Measurements</t>
  </si>
  <si>
    <t>S/N Ratio for Nomonal-the-best</t>
  </si>
  <si>
    <t>S/N Ratio for smaller-the-better</t>
  </si>
  <si>
    <t>S/N Ratio for Larger-the-better</t>
  </si>
  <si>
    <t>S/N Ratio for Mean</t>
  </si>
  <si>
    <r>
      <t xml:space="preserve">The data has been brought from previous sheet      </t>
    </r>
    <r>
      <rPr>
        <b/>
        <sz val="14"/>
        <color indexed="10"/>
        <rFont val="Arial"/>
        <family val="2"/>
      </rPr>
      <t xml:space="preserve">and this sheet is protected </t>
    </r>
  </si>
  <si>
    <t>USERNAME</t>
  </si>
  <si>
    <t>Write an Introduction to the problem</t>
  </si>
  <si>
    <t>Team members</t>
  </si>
  <si>
    <t xml:space="preserve">Duration </t>
  </si>
  <si>
    <t>Title of the problem</t>
  </si>
  <si>
    <t>YES</t>
  </si>
  <si>
    <t>Best Settings</t>
  </si>
  <si>
    <t>-</t>
  </si>
  <si>
    <t>Best result  (S/N  Ratio)</t>
  </si>
  <si>
    <t>Best result  (Defects)</t>
  </si>
  <si>
    <t>Column #</t>
  </si>
  <si>
    <t>1x2</t>
  </si>
  <si>
    <t>Interaction between Columns  1 X 2</t>
  </si>
  <si>
    <t>Type YES or NO</t>
  </si>
  <si>
    <t>empty or pooled F=&lt;1.5</t>
  </si>
  <si>
    <r>
      <t xml:space="preserve">Contribution of </t>
    </r>
    <r>
      <rPr>
        <sz val="10"/>
        <color indexed="10"/>
        <rFont val="Arial"/>
        <family val="2"/>
      </rPr>
      <t>SELECT</t>
    </r>
    <r>
      <rPr>
        <sz val="10"/>
        <rFont val="Arial"/>
        <family val="0"/>
      </rPr>
      <t>ed Level to  S/N Ratio (in dB)</t>
    </r>
  </si>
  <si>
    <t>Type 'NEW' levels as 1,2 or 3</t>
  </si>
  <si>
    <t>See the 'RESULTS'  here</t>
  </si>
  <si>
    <t>LevelName</t>
  </si>
  <si>
    <t>Type Quality Characteristic name/identifier</t>
  </si>
  <si>
    <t>Level 1</t>
  </si>
  <si>
    <t>Level 2</t>
  </si>
  <si>
    <t>Level 3</t>
  </si>
  <si>
    <t>X</t>
  </si>
  <si>
    <t xml:space="preserve">The Contribution of SETTINGS </t>
  </si>
  <si>
    <t>dB</t>
  </si>
  <si>
    <t>to objective function for</t>
  </si>
  <si>
    <t xml:space="preserve">CONTROL FACTORS \ LEVELS  </t>
  </si>
  <si>
    <t>=</t>
  </si>
  <si>
    <t>Control Factor Names</t>
  </si>
  <si>
    <t>Error Variance (unpooled)</t>
  </si>
  <si>
    <t>Error Variance (unpooled) per degree of freedom</t>
  </si>
  <si>
    <t>(Error Variance pooled))</t>
  </si>
  <si>
    <t>Error Variance per degree of freedom</t>
  </si>
  <si>
    <t>Error Bar on each CF Level</t>
  </si>
  <si>
    <t>This Excel Sheet is created by Dr. P. R. Apte, TIFR, Mumbai, India  e-mail: apte@tifr.res.in ,  web-page : http://www.tifr.res.in/~apte</t>
  </si>
  <si>
    <t xml:space="preserve">Reference : "Quality Engineering using Robust Design"           by M.S. Phadke, Prentice Hall 1989, Chapter 4 </t>
  </si>
  <si>
    <t>STEP 2: Identify Noise factors, testing conditions (to capture the effects of noise)</t>
  </si>
  <si>
    <t>This Excel Sheet is created by Dr. P. R. Apte, IIT Bombay, Powai, Mumbai-400 076, India  
e-mail: apte@ee.iitb.ac.in ,  web-page : http://www.ee.iitb.ac.in/~apte</t>
  </si>
  <si>
    <t xml:space="preserve">NoIsE FACTORS \ LEVELS  </t>
  </si>
  <si>
    <t>Go to a cell, delete contents (using 'delete' key) and write the 
Control Factor names (necessary) &amp; Level names (optional)</t>
  </si>
  <si>
    <r>
      <t xml:space="preserve">"empty", "-" are </t>
    </r>
    <r>
      <rPr>
        <b/>
        <sz val="12"/>
        <rFont val="Arial"/>
        <family val="2"/>
      </rPr>
      <t>reserved</t>
    </r>
    <r>
      <rPr>
        <sz val="10"/>
        <rFont val="Arial"/>
        <family val="0"/>
      </rPr>
      <t xml:space="preserve">
for indicatiing 'blank' columns</t>
    </r>
  </si>
  <si>
    <t>STEP 5: Identify Orthogonal Array (degrees of freedom for error)</t>
  </si>
  <si>
    <t>Assumptions are : All 6 control factors are ORTHOGONAL to each other and hence there would not be any need to study their interactions with each other</t>
  </si>
  <si>
    <t>repetition number =</t>
  </si>
  <si>
    <t>meas.</t>
  </si>
  <si>
    <t xml:space="preserve">2 NF with 
2-levels each = </t>
  </si>
  <si>
    <t>factorial</t>
  </si>
  <si>
    <t>How to use NoIsE Factors for generating 
repetitions for each expt</t>
  </si>
  <si>
    <t xml:space="preserve">3 NF with 
2-levels each = </t>
  </si>
  <si>
    <t xml:space="preserve">L4 Orthogonal Array </t>
  </si>
  <si>
    <t xml:space="preserve">1 NF with 2-levels 
1 NF with 3-levels= </t>
  </si>
  <si>
    <t xml:space="preserve">2-4 NF with 
3-levels each = </t>
  </si>
  <si>
    <t xml:space="preserve">L9 Orthogonal Array </t>
  </si>
  <si>
    <t xml:space="preserve">Error Bar for each col #1 CF level  = 2*SQRT(error var. per DF / repetition of each level) = </t>
  </si>
  <si>
    <t xml:space="preserve">Error Bar for each #2-#8 CF level  = 2*SQRT(error var. per DF / repetition of each level) = </t>
  </si>
  <si>
    <t xml:space="preserve">password info for P. R. Apte </t>
  </si>
  <si>
    <t>L18****</t>
  </si>
  <si>
    <t>Polysi Deposition for VLSI</t>
  </si>
  <si>
    <t xml:space="preserve">Total no. of expts = </t>
  </si>
  <si>
    <t>Repetitions in each row of expt (due to NoIsE Factor combinations)</t>
  </si>
  <si>
    <t>Repetitions of confirmation expt (using the 'best' settings)</t>
  </si>
  <si>
    <t>Type the number of times the 'BEST" experiment (with 'best' CF levels) is repeated</t>
  </si>
  <si>
    <t>NO. OF unpooled 2-LEVEL CFs =</t>
  </si>
  <si>
    <t>NO. OF unpooled 3-LEVEL CFs =</t>
  </si>
  <si>
    <t>1/n = 1/(nexpts for mean) + (no of unpooled CF)/(nrepeat for each level) =</t>
  </si>
  <si>
    <r>
      <t>n</t>
    </r>
    <r>
      <rPr>
        <b/>
        <sz val="8"/>
        <color indexed="12"/>
        <rFont val="Arial"/>
        <family val="2"/>
      </rPr>
      <t>r</t>
    </r>
    <r>
      <rPr>
        <b/>
        <sz val="10"/>
        <color indexed="12"/>
        <rFont val="Arial"/>
        <family val="2"/>
      </rPr>
      <t xml:space="preserve"> = no of repeat expts = </t>
    </r>
  </si>
  <si>
    <r>
      <t>1/</t>
    </r>
    <r>
      <rPr>
        <b/>
        <sz val="12"/>
        <color indexed="14"/>
        <rFont val="Arial"/>
        <family val="2"/>
      </rPr>
      <t>n</t>
    </r>
    <r>
      <rPr>
        <b/>
        <sz val="8"/>
        <color indexed="14"/>
        <rFont val="Arial"/>
        <family val="2"/>
      </rPr>
      <t xml:space="preserve">eff </t>
    </r>
    <r>
      <rPr>
        <b/>
        <sz val="10"/>
        <color indexed="14"/>
        <rFont val="Arial"/>
        <family val="2"/>
      </rPr>
      <t>= 1/n + 1/</t>
    </r>
    <r>
      <rPr>
        <b/>
        <sz val="12"/>
        <color indexed="14"/>
        <rFont val="Arial"/>
        <family val="2"/>
      </rPr>
      <t>n</t>
    </r>
    <r>
      <rPr>
        <b/>
        <sz val="8"/>
        <color indexed="14"/>
        <rFont val="Arial"/>
        <family val="2"/>
      </rPr>
      <t xml:space="preserve">r
</t>
    </r>
    <r>
      <rPr>
        <b/>
        <sz val="12"/>
        <color indexed="14"/>
        <rFont val="Arial"/>
        <family val="2"/>
      </rPr>
      <t>therefore  n</t>
    </r>
    <r>
      <rPr>
        <b/>
        <sz val="8"/>
        <color indexed="14"/>
        <rFont val="Arial"/>
        <family val="2"/>
      </rPr>
      <t xml:space="preserve">eff </t>
    </r>
    <r>
      <rPr>
        <b/>
        <sz val="12"/>
        <color indexed="14"/>
        <rFont val="Arial"/>
        <family val="2"/>
      </rPr>
      <t>=</t>
    </r>
  </si>
  <si>
    <r>
      <t>Prediction error variance (for 5 to 6 repititions) = sum of sq for error /</t>
    </r>
    <r>
      <rPr>
        <sz val="16"/>
        <rFont val="Arial"/>
        <family val="2"/>
      </rPr>
      <t>n</t>
    </r>
    <r>
      <rPr>
        <sz val="8"/>
        <rFont val="Arial"/>
        <family val="2"/>
      </rPr>
      <t>eff</t>
    </r>
    <r>
      <rPr>
        <sz val="10"/>
        <rFont val="Arial"/>
        <family val="0"/>
      </rPr>
      <t xml:space="preserve"> = </t>
    </r>
  </si>
  <si>
    <t>"+-" prediction error (95% confidence) in dB</t>
  </si>
  <si>
    <t xml:space="preserve">Range
Center Value </t>
  </si>
  <si>
    <t>L18 :-  1 Control factor with 2-Levels and upto 7 control factors with 3 levels each</t>
  </si>
  <si>
    <t xml:space="preserve">U  NoIsE FACTOR  1  </t>
  </si>
  <si>
    <t xml:space="preserve">V  NoIsE FACTOR  2   </t>
  </si>
  <si>
    <t>"F" after Pooling</t>
  </si>
  <si>
    <r>
      <t xml:space="preserve">YOU CAN MODIFIY THE CHART - </t>
    </r>
    <r>
      <rPr>
        <sz val="12"/>
        <color indexed="16"/>
        <rFont val="Arial"/>
        <family val="2"/>
      </rPr>
      <t>PARTICULARLY  THE  Y-AXIS</t>
    </r>
  </si>
  <si>
    <t>Factor-Effects for 
Column #2-#8</t>
  </si>
  <si>
    <t>Factor-Effects for 
Column #1</t>
  </si>
  <si>
    <t xml:space="preserve">Factor-Effects </t>
  </si>
  <si>
    <t>Ov Mean</t>
  </si>
  <si>
    <t>Decrease the defects</t>
  </si>
  <si>
    <t>Defects</t>
  </si>
  <si>
    <r>
      <t xml:space="preserve">YOU MAY OVER-WRITE ON THE </t>
    </r>
    <r>
      <rPr>
        <b/>
        <sz val="10"/>
        <color indexed="53"/>
        <rFont val="Arial"/>
        <family val="2"/>
      </rPr>
      <t>'orange'</t>
    </r>
    <r>
      <rPr>
        <b/>
        <sz val="10"/>
        <color indexed="17"/>
        <rFont val="Arial"/>
        <family val="2"/>
      </rPr>
      <t xml:space="preserve"> TEXT 
IN </t>
    </r>
    <r>
      <rPr>
        <b/>
        <sz val="10"/>
        <color indexed="12"/>
        <rFont val="Arial"/>
        <family val="2"/>
      </rPr>
      <t>ALL</t>
    </r>
    <r>
      <rPr>
        <b/>
        <sz val="10"/>
        <color indexed="17"/>
        <rFont val="Arial"/>
        <family val="2"/>
      </rPr>
      <t xml:space="preserve"> THE SHEETS</t>
    </r>
  </si>
  <si>
    <t>NoIsE Level 1</t>
  </si>
  <si>
    <t>NoIsE Level 2</t>
  </si>
  <si>
    <t>NoIsE Level 3</t>
  </si>
  <si>
    <t>NUMBER OF LEVELS</t>
  </si>
  <si>
    <t xml:space="preserve">Type 2 or 3 </t>
  </si>
  <si>
    <t>W NoIsE FACTOR  3</t>
  </si>
  <si>
    <t>X NoIsE FACTOR  4</t>
  </si>
  <si>
    <t>WHICH OUTER-ARRAY IS REQUIRED =</t>
  </si>
  <si>
    <t>Experimenter's Log</t>
  </si>
  <si>
    <t xml:space="preserve">        NoIsE Factor combinations used as repetitions for each (row of) experiment 
                                        L4 / F4                  F6                  F8 / L8     L9                                  L12                                  </t>
  </si>
  <si>
    <t>NUMBER OF MEASUREMENTS</t>
  </si>
  <si>
    <t>REPETITIONS
NoIsE FACTOR names</t>
  </si>
  <si>
    <t>CHOSEN FACTORIAL OR ORTHOGONAL ARRAY</t>
  </si>
  <si>
    <t>F4</t>
  </si>
  <si>
    <t>EXPT NO.</t>
  </si>
  <si>
    <t>F6</t>
  </si>
  <si>
    <t>F8</t>
  </si>
  <si>
    <t>F12</t>
  </si>
  <si>
    <t>F16</t>
  </si>
  <si>
    <t>L4</t>
  </si>
  <si>
    <t>L8</t>
  </si>
  <si>
    <t>L9</t>
  </si>
  <si>
    <t>Last Modified on 15-Feb-2007</t>
  </si>
  <si>
    <t>start date</t>
  </si>
  <si>
    <t>Date today</t>
  </si>
  <si>
    <r>
      <t xml:space="preserve">You may overtype the number of measurements for each experiment.
</t>
    </r>
    <r>
      <rPr>
        <b/>
        <sz val="12"/>
        <color indexed="14"/>
        <rFont val="Arial"/>
        <family val="2"/>
      </rPr>
      <t>(due to NoIsE Factor combinations)</t>
    </r>
  </si>
  <si>
    <t xml:space="preserve">L18 array is chosen
1 control factor with 2 levels and upto 7 control factors with 3 levels are allowed. 
Interaction AXB  can  be studied, </t>
  </si>
  <si>
    <t>Last Modified on 2-Mar-2007</t>
  </si>
  <si>
    <t>F2</t>
  </si>
  <si>
    <t>F3</t>
  </si>
  <si>
    <t>26-Sep-06  TYPE THE DATE HERE</t>
  </si>
  <si>
    <r>
      <t xml:space="preserve">However, there are 3 quality characteristics of interest:                                                      
(1) </t>
    </r>
    <r>
      <rPr>
        <b/>
        <sz val="10"/>
        <color indexed="53"/>
        <rFont val="Arial"/>
        <family val="2"/>
      </rPr>
      <t>Defects (pin holes and/or particulates) : smaller-the-better,</t>
    </r>
    <r>
      <rPr>
        <sz val="10"/>
        <color indexed="53"/>
        <rFont val="Arial"/>
        <family val="2"/>
      </rPr>
      <t xml:space="preserve">
(2) Deposition rate : Larger-the-better and
(3) Thickness non-uniformity : Nominal-the-Best, ideal value 1000 Ang.,             </t>
    </r>
  </si>
  <si>
    <t>PolySilicon is deposited by "Low-Pressure Chemical Vapor Deposition" Technique. However, there are 3 problems : (1) Thickness Non uniformity, (2) defects (pin holes and/or particulates) and (3) Deposition Rate</t>
  </si>
  <si>
    <r>
      <t xml:space="preserve">Internal NoIsE parameters: </t>
    </r>
    <r>
      <rPr>
        <sz val="10"/>
        <color indexed="53"/>
        <rFont val="Arial"/>
        <family val="2"/>
      </rPr>
      <t>All process parameters may have 'variations'</t>
    </r>
    <r>
      <rPr>
        <b/>
        <sz val="10"/>
        <color indexed="53"/>
        <rFont val="Arial"/>
        <family val="2"/>
      </rPr>
      <t xml:space="preserve"> 
External NoIsE parameters: </t>
    </r>
    <r>
      <rPr>
        <sz val="10"/>
        <color indexed="53"/>
        <rFont val="Arial"/>
        <family val="2"/>
      </rPr>
      <t>power supply, gas pressures, ambient temperature, humidity etc may also have 'variations'</t>
    </r>
  </si>
  <si>
    <t>D O M I N A N T  or
SIGNIFICANT  or
neutral/negligible</t>
  </si>
  <si>
    <t>This Excel Sheet is created by Dr. P. R. Apte, TIFR, Mumbai, India  e-mail: apte@tifr.res.in ,  web-page : http://www.ee.iitb.ac.in/~apte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</si>
</sst>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E+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000"/>
    <numFmt numFmtId="173" formatCode="0.00000000"/>
    <numFmt numFmtId="174" formatCode="0.0%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0"/>
    <numFmt numFmtId="180" formatCode="0.000000000000000"/>
  </numFmts>
  <fonts count="6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16"/>
      <name val="Arial"/>
      <family val="2"/>
    </font>
    <font>
      <b/>
      <sz val="11"/>
      <color indexed="14"/>
      <name val="Arial"/>
      <family val="2"/>
    </font>
    <font>
      <sz val="10"/>
      <color indexed="55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55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20"/>
      <name val="Arial"/>
      <family val="2"/>
    </font>
    <font>
      <b/>
      <sz val="12"/>
      <color indexed="17"/>
      <name val="Arial"/>
      <family val="2"/>
    </font>
    <font>
      <sz val="16"/>
      <color indexed="12"/>
      <name val="Arial"/>
      <family val="2"/>
    </font>
    <font>
      <b/>
      <sz val="14"/>
      <color indexed="53"/>
      <name val="Arial"/>
      <family val="2"/>
    </font>
    <font>
      <sz val="10"/>
      <color indexed="53"/>
      <name val="Arial"/>
      <family val="0"/>
    </font>
    <font>
      <b/>
      <sz val="10"/>
      <color indexed="16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4"/>
      <color indexed="16"/>
      <name val="Arial"/>
      <family val="2"/>
    </font>
    <font>
      <sz val="12"/>
      <color indexed="16"/>
      <name val="Arial"/>
      <family val="2"/>
    </font>
    <font>
      <b/>
      <sz val="12.25"/>
      <name val="Arial"/>
      <family val="2"/>
    </font>
    <font>
      <sz val="12.25"/>
      <name val="Arial"/>
      <family val="2"/>
    </font>
    <font>
      <b/>
      <sz val="10"/>
      <color indexed="53"/>
      <name val="Arial"/>
      <family val="2"/>
    </font>
    <font>
      <sz val="9"/>
      <color indexed="53"/>
      <name val="Arial"/>
      <family val="2"/>
    </font>
    <font>
      <b/>
      <sz val="14"/>
      <name val="Arial"/>
      <family val="2"/>
    </font>
    <font>
      <b/>
      <sz val="11.5"/>
      <color indexed="53"/>
      <name val="Arial"/>
      <family val="2"/>
    </font>
    <font>
      <sz val="12"/>
      <color indexed="14"/>
      <name val="Arial"/>
      <family val="2"/>
    </font>
    <font>
      <sz val="14"/>
      <color indexed="14"/>
      <name val="Arial"/>
      <family val="2"/>
    </font>
    <font>
      <sz val="10"/>
      <color indexed="52"/>
      <name val="Arial"/>
      <family val="0"/>
    </font>
    <font>
      <sz val="14"/>
      <color indexed="17"/>
      <name val="Arial"/>
      <family val="2"/>
    </font>
    <font>
      <sz val="14"/>
      <name val="Arial"/>
      <family val="0"/>
    </font>
    <font>
      <sz val="20"/>
      <color indexed="12"/>
      <name val="Arial"/>
      <family val="0"/>
    </font>
    <font>
      <b/>
      <sz val="20"/>
      <color indexed="14"/>
      <name val="Arial"/>
      <family val="2"/>
    </font>
    <font>
      <sz val="10"/>
      <color indexed="16"/>
      <name val="Arial"/>
      <family val="0"/>
    </font>
    <font>
      <b/>
      <sz val="16"/>
      <color indexed="14"/>
      <name val="Arial"/>
      <family val="2"/>
    </font>
    <font>
      <sz val="10"/>
      <color indexed="23"/>
      <name val="Arial"/>
      <family val="2"/>
    </font>
    <font>
      <b/>
      <sz val="11"/>
      <color indexed="53"/>
      <name val="Arial"/>
      <family val="2"/>
    </font>
    <font>
      <b/>
      <sz val="8"/>
      <color indexed="16"/>
      <name val="Arial"/>
      <family val="2"/>
    </font>
    <font>
      <sz val="9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71" fontId="0" fillId="0" borderId="0" xfId="0" applyNumberFormat="1" applyAlignment="1">
      <alignment/>
    </xf>
    <xf numFmtId="0" fontId="30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1" fillId="3" borderId="0" xfId="0" applyFont="1" applyFill="1" applyAlignment="1">
      <alignment/>
    </xf>
    <xf numFmtId="17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1" xfId="0" applyFont="1" applyFill="1" applyBorder="1" applyAlignment="1" applyProtection="1">
      <alignment horizontal="centerContinuous"/>
      <protection hidden="1"/>
    </xf>
    <xf numFmtId="0" fontId="1" fillId="0" borderId="1" xfId="0" applyFont="1" applyFill="1" applyBorder="1" applyAlignment="1" applyProtection="1">
      <alignment horizontal="centerContinuous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/>
      <protection hidden="1"/>
    </xf>
    <xf numFmtId="0" fontId="1" fillId="0" borderId="3" xfId="0" applyFont="1" applyFill="1" applyBorder="1" applyAlignment="1" applyProtection="1">
      <alignment horizontal="left"/>
      <protection hidden="1"/>
    </xf>
    <xf numFmtId="2" fontId="0" fillId="0" borderId="3" xfId="0" applyNumberFormat="1" applyFill="1" applyBorder="1" applyAlignment="1" applyProtection="1">
      <alignment horizontal="center"/>
      <protection hidden="1"/>
    </xf>
    <xf numFmtId="171" fontId="0" fillId="0" borderId="3" xfId="0" applyNumberFormat="1" applyFill="1" applyBorder="1" applyAlignment="1" applyProtection="1">
      <alignment horizontal="center"/>
      <protection hidden="1"/>
    </xf>
    <xf numFmtId="171" fontId="0" fillId="0" borderId="3" xfId="0" applyNumberFormat="1" applyFill="1" applyBorder="1" applyAlignment="1" applyProtection="1">
      <alignment/>
      <protection hidden="1"/>
    </xf>
    <xf numFmtId="171" fontId="13" fillId="0" borderId="3" xfId="0" applyNumberFormat="1" applyFont="1" applyFill="1" applyBorder="1" applyAlignment="1" applyProtection="1">
      <alignment/>
      <protection hidden="1"/>
    </xf>
    <xf numFmtId="2" fontId="0" fillId="0" borderId="3" xfId="0" applyNumberFormat="1" applyFill="1" applyBorder="1" applyAlignment="1" applyProtection="1">
      <alignment/>
      <protection hidden="1"/>
    </xf>
    <xf numFmtId="2" fontId="1" fillId="0" borderId="2" xfId="0" applyNumberFormat="1" applyFont="1" applyFill="1" applyBorder="1" applyAlignment="1" applyProtection="1">
      <alignment horizontal="left" wrapText="1"/>
      <protection hidden="1"/>
    </xf>
    <xf numFmtId="2" fontId="0" fillId="0" borderId="2" xfId="0" applyNumberFormat="1" applyFill="1" applyBorder="1" applyAlignment="1" applyProtection="1">
      <alignment horizontal="left" wrapText="1"/>
      <protection hidden="1"/>
    </xf>
    <xf numFmtId="2" fontId="0" fillId="0" borderId="2" xfId="0" applyNumberFormat="1" applyFill="1" applyBorder="1" applyAlignment="1" applyProtection="1">
      <alignment horizontal="center" wrapText="1"/>
      <protection hidden="1"/>
    </xf>
    <xf numFmtId="2" fontId="0" fillId="0" borderId="2" xfId="0" applyNumberFormat="1" applyFill="1" applyBorder="1" applyAlignment="1" applyProtection="1">
      <alignment horizontal="center"/>
      <protection hidden="1"/>
    </xf>
    <xf numFmtId="2" fontId="0" fillId="0" borderId="2" xfId="0" applyNumberFormat="1" applyFill="1" applyBorder="1" applyAlignment="1" applyProtection="1">
      <alignment/>
      <protection hidden="1"/>
    </xf>
    <xf numFmtId="2" fontId="13" fillId="0" borderId="2" xfId="0" applyNumberFormat="1" applyFont="1" applyFill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horizontal="left" wrapText="1"/>
      <protection hidden="1"/>
    </xf>
    <xf numFmtId="2" fontId="0" fillId="0" borderId="0" xfId="0" applyNumberFormat="1" applyFill="1" applyBorder="1" applyAlignment="1" applyProtection="1">
      <alignment horizontal="left" wrapText="1"/>
      <protection hidden="1"/>
    </xf>
    <xf numFmtId="2" fontId="0" fillId="0" borderId="0" xfId="0" applyNumberFormat="1" applyFill="1" applyBorder="1" applyAlignment="1" applyProtection="1">
      <alignment horizontal="center" wrapText="1"/>
      <protection hidden="1"/>
    </xf>
    <xf numFmtId="2" fontId="0" fillId="0" borderId="5" xfId="0" applyNumberFormat="1" applyFill="1" applyBorder="1" applyAlignment="1" applyProtection="1">
      <alignment horizontal="center"/>
      <protection hidden="1"/>
    </xf>
    <xf numFmtId="2" fontId="0" fillId="0" borderId="5" xfId="0" applyNumberFormat="1" applyFill="1" applyBorder="1" applyAlignment="1" applyProtection="1">
      <alignment/>
      <protection hidden="1"/>
    </xf>
    <xf numFmtId="2" fontId="1" fillId="0" borderId="4" xfId="0" applyNumberFormat="1" applyFont="1" applyFill="1" applyBorder="1" applyAlignment="1" applyProtection="1">
      <alignment horizontal="left" wrapText="1"/>
      <protection hidden="1"/>
    </xf>
    <xf numFmtId="2" fontId="0" fillId="0" borderId="4" xfId="0" applyNumberFormat="1" applyFill="1" applyBorder="1" applyAlignment="1" applyProtection="1">
      <alignment horizontal="left" wrapText="1"/>
      <protection hidden="1"/>
    </xf>
    <xf numFmtId="2" fontId="0" fillId="0" borderId="4" xfId="0" applyNumberFormat="1" applyFill="1" applyBorder="1" applyAlignment="1" applyProtection="1">
      <alignment horizontal="center" wrapText="1"/>
      <protection hidden="1"/>
    </xf>
    <xf numFmtId="2" fontId="1" fillId="0" borderId="0" xfId="0" applyNumberFormat="1" applyFont="1" applyFill="1" applyBorder="1" applyAlignment="1" applyProtection="1">
      <alignment horizontal="left" vertical="center" wrapText="1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18" fillId="0" borderId="6" xfId="0" applyFont="1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left"/>
      <protection hidden="1"/>
    </xf>
    <xf numFmtId="1" fontId="1" fillId="0" borderId="0" xfId="0" applyNumberFormat="1" applyFon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71" fontId="14" fillId="0" borderId="0" xfId="0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" fillId="0" borderId="8" xfId="0" applyFont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vertical="top" wrapText="1"/>
      <protection hidden="1"/>
    </xf>
    <xf numFmtId="0" fontId="1" fillId="0" borderId="9" xfId="0" applyFont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71" fontId="0" fillId="0" borderId="0" xfId="0" applyNumberForma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2" fillId="0" borderId="5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2" fontId="0" fillId="0" borderId="6" xfId="0" applyNumberFormat="1" applyFill="1" applyBorder="1" applyAlignment="1" applyProtection="1">
      <alignment horizontal="center"/>
      <protection hidden="1"/>
    </xf>
    <xf numFmtId="2" fontId="0" fillId="0" borderId="6" xfId="0" applyNumberFormat="1" applyFill="1" applyBorder="1" applyAlignment="1" applyProtection="1">
      <alignment/>
      <protection hidden="1"/>
    </xf>
    <xf numFmtId="2" fontId="0" fillId="0" borderId="7" xfId="0" applyNumberFormat="1" applyFill="1" applyBorder="1" applyAlignment="1" applyProtection="1">
      <alignment horizontal="center"/>
      <protection hidden="1"/>
    </xf>
    <xf numFmtId="171" fontId="0" fillId="0" borderId="7" xfId="0" applyNumberFormat="1" applyFill="1" applyBorder="1" applyAlignment="1" applyProtection="1">
      <alignment/>
      <protection hidden="1"/>
    </xf>
    <xf numFmtId="2" fontId="0" fillId="0" borderId="2" xfId="0" applyNumberFormat="1" applyFill="1" applyBorder="1" applyAlignment="1" applyProtection="1">
      <alignment horizontal="right" vertical="center" wrapText="1"/>
      <protection hidden="1"/>
    </xf>
    <xf numFmtId="2" fontId="0" fillId="0" borderId="12" xfId="0" applyNumberFormat="1" applyFill="1" applyBorder="1" applyAlignment="1" applyProtection="1">
      <alignment horizontal="right" vertical="center" wrapText="1"/>
      <protection hidden="1"/>
    </xf>
    <xf numFmtId="2" fontId="13" fillId="0" borderId="2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left" vertical="center" wrapText="1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 applyProtection="1">
      <alignment horizontal="left" vertical="center" wrapText="1"/>
      <protection hidden="1"/>
    </xf>
    <xf numFmtId="0" fontId="20" fillId="0" borderId="13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2" fontId="18" fillId="0" borderId="13" xfId="0" applyNumberFormat="1" applyFont="1" applyFill="1" applyBorder="1" applyAlignment="1" applyProtection="1">
      <alignment/>
      <protection hidden="1"/>
    </xf>
    <xf numFmtId="175" fontId="19" fillId="0" borderId="13" xfId="0" applyNumberFormat="1" applyFont="1" applyFill="1" applyBorder="1" applyAlignment="1" applyProtection="1">
      <alignment horizontal="right"/>
      <protection hidden="1"/>
    </xf>
    <xf numFmtId="2" fontId="21" fillId="0" borderId="13" xfId="0" applyNumberFormat="1" applyFont="1" applyFill="1" applyBorder="1" applyAlignment="1" applyProtection="1">
      <alignment/>
      <protection hidden="1"/>
    </xf>
    <xf numFmtId="2" fontId="21" fillId="0" borderId="13" xfId="0" applyNumberFormat="1" applyFont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hidden="1"/>
    </xf>
    <xf numFmtId="0" fontId="0" fillId="0" borderId="5" xfId="0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17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shrinkToFit="1"/>
      <protection hidden="1"/>
    </xf>
    <xf numFmtId="0" fontId="0" fillId="0" borderId="0" xfId="0" applyAlignment="1" applyProtection="1">
      <alignment horizontal="left" shrinkToFit="1"/>
      <protection hidden="1"/>
    </xf>
    <xf numFmtId="0" fontId="1" fillId="0" borderId="1" xfId="0" applyFont="1" applyFill="1" applyBorder="1" applyAlignment="1" applyProtection="1">
      <alignment horizontal="left" shrinkToFit="1"/>
      <protection hidden="1"/>
    </xf>
    <xf numFmtId="0" fontId="1" fillId="0" borderId="3" xfId="0" applyFont="1" applyFill="1" applyBorder="1" applyAlignment="1" applyProtection="1">
      <alignment horizontal="left" shrinkToFit="1"/>
      <protection hidden="1"/>
    </xf>
    <xf numFmtId="0" fontId="1" fillId="0" borderId="7" xfId="0" applyFont="1" applyFill="1" applyBorder="1" applyAlignment="1" applyProtection="1">
      <alignment horizontal="left" shrinkToFit="1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vertical="top"/>
      <protection hidden="1"/>
    </xf>
    <xf numFmtId="0" fontId="0" fillId="5" borderId="13" xfId="0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1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left" vertical="top" wrapText="1"/>
      <protection hidden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0" xfId="0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1" fontId="19" fillId="0" borderId="23" xfId="0" applyNumberFormat="1" applyFont="1" applyBorder="1" applyAlignment="1" applyProtection="1">
      <alignment/>
      <protection hidden="1"/>
    </xf>
    <xf numFmtId="1" fontId="19" fillId="0" borderId="24" xfId="0" applyNumberFormat="1" applyFont="1" applyBorder="1" applyAlignment="1" applyProtection="1">
      <alignment/>
      <protection hidden="1"/>
    </xf>
    <xf numFmtId="1" fontId="19" fillId="0" borderId="25" xfId="0" applyNumberFormat="1" applyFont="1" applyBorder="1" applyAlignment="1" applyProtection="1">
      <alignment/>
      <protection hidden="1"/>
    </xf>
    <xf numFmtId="1" fontId="1" fillId="0" borderId="26" xfId="0" applyNumberFormat="1" applyFont="1" applyBorder="1" applyAlignment="1" applyProtection="1">
      <alignment horizontal="center"/>
      <protection hidden="1"/>
    </xf>
    <xf numFmtId="1" fontId="1" fillId="0" borderId="27" xfId="0" applyNumberFormat="1" applyFont="1" applyBorder="1" applyAlignment="1" applyProtection="1">
      <alignment horizontal="center"/>
      <protection hidden="1"/>
    </xf>
    <xf numFmtId="1" fontId="1" fillId="0" borderId="28" xfId="0" applyNumberFormat="1" applyFont="1" applyBorder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6" fillId="0" borderId="29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1" fontId="9" fillId="0" borderId="0" xfId="0" applyNumberFormat="1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36" fillId="0" borderId="0" xfId="0" applyFont="1" applyBorder="1" applyAlignment="1" applyProtection="1">
      <alignment wrapText="1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2" fontId="36" fillId="0" borderId="0" xfId="0" applyNumberFormat="1" applyFont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33" fillId="0" borderId="0" xfId="0" applyFont="1" applyFill="1" applyAlignment="1" applyProtection="1">
      <alignment vertical="top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Border="1" applyAlignment="1" applyProtection="1">
      <alignment horizontal="right" vertical="center" wrapText="1"/>
      <protection hidden="1"/>
    </xf>
    <xf numFmtId="2" fontId="1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/>
      <protection locked="0"/>
    </xf>
    <xf numFmtId="164" fontId="49" fillId="0" borderId="0" xfId="0" applyNumberFormat="1" applyFont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2" fontId="13" fillId="0" borderId="13" xfId="0" applyNumberFormat="1" applyFont="1" applyFill="1" applyBorder="1" applyAlignment="1" applyProtection="1">
      <alignment horizontal="center"/>
      <protection hidden="1"/>
    </xf>
    <xf numFmtId="165" fontId="13" fillId="0" borderId="13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left" wrapText="1"/>
    </xf>
    <xf numFmtId="165" fontId="35" fillId="0" borderId="29" xfId="0" applyNumberFormat="1" applyFont="1" applyBorder="1" applyAlignment="1" applyProtection="1">
      <alignment/>
      <protection locked="0"/>
    </xf>
    <xf numFmtId="165" fontId="35" fillId="0" borderId="0" xfId="0" applyNumberFormat="1" applyFont="1" applyBorder="1" applyAlignment="1" applyProtection="1">
      <alignment/>
      <protection locked="0"/>
    </xf>
    <xf numFmtId="165" fontId="35" fillId="0" borderId="0" xfId="0" applyNumberFormat="1" applyFont="1" applyFill="1" applyBorder="1" applyAlignment="1" applyProtection="1">
      <alignment/>
      <protection locked="0"/>
    </xf>
    <xf numFmtId="165" fontId="35" fillId="0" borderId="6" xfId="0" applyNumberFormat="1" applyFont="1" applyFill="1" applyBorder="1" applyAlignment="1" applyProtection="1">
      <alignment/>
      <protection locked="0"/>
    </xf>
    <xf numFmtId="165" fontId="35" fillId="0" borderId="30" xfId="0" applyNumberFormat="1" applyFont="1" applyBorder="1" applyAlignment="1" applyProtection="1">
      <alignment/>
      <protection locked="0"/>
    </xf>
    <xf numFmtId="165" fontId="35" fillId="0" borderId="4" xfId="0" applyNumberFormat="1" applyFont="1" applyBorder="1" applyAlignment="1" applyProtection="1">
      <alignment/>
      <protection locked="0"/>
    </xf>
    <xf numFmtId="165" fontId="35" fillId="0" borderId="4" xfId="0" applyNumberFormat="1" applyFont="1" applyFill="1" applyBorder="1" applyAlignment="1" applyProtection="1">
      <alignment/>
      <protection locked="0"/>
    </xf>
    <xf numFmtId="165" fontId="35" fillId="0" borderId="11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1" fontId="5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1" fontId="53" fillId="2" borderId="0" xfId="0" applyNumberFormat="1" applyFont="1" applyFill="1" applyBorder="1" applyAlignment="1" applyProtection="1">
      <alignment horizontal="center" vertical="center" wrapText="1"/>
      <protection hidden="1"/>
    </xf>
    <xf numFmtId="1" fontId="5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4" fillId="0" borderId="30" xfId="0" applyFont="1" applyBorder="1" applyAlignment="1" applyProtection="1">
      <alignment horizontal="center" vertical="center" wrapText="1"/>
      <protection hidden="1"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34" xfId="0" applyFont="1" applyBorder="1" applyAlignment="1" applyProtection="1">
      <alignment horizontal="center" vertical="center" wrapText="1"/>
      <protection hidden="1" locked="0"/>
    </xf>
    <xf numFmtId="0" fontId="54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 wrapText="1"/>
      <protection hidden="1" locked="0"/>
    </xf>
    <xf numFmtId="0" fontId="57" fillId="0" borderId="0" xfId="0" applyFont="1" applyAlignment="1">
      <alignment/>
    </xf>
    <xf numFmtId="0" fontId="25" fillId="6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58" fillId="0" borderId="0" xfId="0" applyFont="1" applyAlignment="1">
      <alignment/>
    </xf>
    <xf numFmtId="0" fontId="31" fillId="0" borderId="0" xfId="0" applyFont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top" wrapText="1"/>
      <protection hidden="1"/>
    </xf>
    <xf numFmtId="0" fontId="17" fillId="0" borderId="3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>
      <alignment horizontal="right" wrapText="1"/>
    </xf>
    <xf numFmtId="0" fontId="60" fillId="0" borderId="0" xfId="0" applyFont="1" applyAlignment="1">
      <alignment horizontal="center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15" fontId="35" fillId="0" borderId="0" xfId="0" applyNumberFormat="1" applyFont="1" applyAlignment="1">
      <alignment horizontal="left"/>
    </xf>
    <xf numFmtId="15" fontId="61" fillId="0" borderId="0" xfId="0" applyNumberFormat="1" applyFont="1" applyAlignment="1">
      <alignment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 applyProtection="1">
      <alignment horizontal="center" vertical="top"/>
      <protection hidden="1"/>
    </xf>
    <xf numFmtId="0" fontId="62" fillId="0" borderId="13" xfId="0" applyFont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>
      <alignment/>
    </xf>
    <xf numFmtId="11" fontId="59" fillId="0" borderId="29" xfId="0" applyNumberFormat="1" applyFont="1" applyBorder="1" applyAlignment="1" applyProtection="1">
      <alignment vertical="center"/>
      <protection hidden="1"/>
    </xf>
    <xf numFmtId="11" fontId="59" fillId="0" borderId="15" xfId="0" applyNumberFormat="1" applyFont="1" applyBorder="1" applyAlignment="1" applyProtection="1">
      <alignment vertical="center"/>
      <protection hidden="1"/>
    </xf>
    <xf numFmtId="11" fontId="63" fillId="0" borderId="37" xfId="0" applyNumberFormat="1" applyFont="1" applyFill="1" applyBorder="1" applyAlignment="1" applyProtection="1">
      <alignment horizontal="center" vertical="center"/>
      <protection hidden="1"/>
    </xf>
    <xf numFmtId="11" fontId="63" fillId="0" borderId="38" xfId="0" applyNumberFormat="1" applyFont="1" applyFill="1" applyBorder="1" applyAlignment="1" applyProtection="1">
      <alignment horizontal="center" vertical="center"/>
      <protection hidden="1"/>
    </xf>
    <xf numFmtId="11" fontId="63" fillId="0" borderId="38" xfId="0" applyNumberFormat="1" applyFont="1" applyBorder="1" applyAlignment="1" applyProtection="1">
      <alignment horizontal="center" vertical="center"/>
      <protection hidden="1"/>
    </xf>
    <xf numFmtId="11" fontId="63" fillId="0" borderId="33" xfId="0" applyNumberFormat="1" applyFont="1" applyBorder="1" applyAlignment="1" applyProtection="1">
      <alignment horizontal="center" vertical="center"/>
      <protection hidden="1"/>
    </xf>
    <xf numFmtId="11" fontId="63" fillId="0" borderId="39" xfId="0" applyNumberFormat="1" applyFont="1" applyFill="1" applyBorder="1" applyAlignment="1" applyProtection="1">
      <alignment horizontal="center" vertical="center"/>
      <protection hidden="1"/>
    </xf>
    <xf numFmtId="11" fontId="63" fillId="0" borderId="13" xfId="0" applyNumberFormat="1" applyFont="1" applyFill="1" applyBorder="1" applyAlignment="1" applyProtection="1">
      <alignment horizontal="center" vertical="center"/>
      <protection hidden="1"/>
    </xf>
    <xf numFmtId="11" fontId="63" fillId="0" borderId="13" xfId="0" applyNumberFormat="1" applyFont="1" applyBorder="1" applyAlignment="1" applyProtection="1">
      <alignment horizontal="center" vertical="center"/>
      <protection hidden="1"/>
    </xf>
    <xf numFmtId="11" fontId="63" fillId="0" borderId="35" xfId="0" applyNumberFormat="1" applyFont="1" applyBorder="1" applyAlignment="1" applyProtection="1">
      <alignment horizontal="center" vertical="center"/>
      <protection hidden="1"/>
    </xf>
    <xf numFmtId="11" fontId="63" fillId="0" borderId="39" xfId="0" applyNumberFormat="1" applyFont="1" applyBorder="1" applyAlignment="1" applyProtection="1">
      <alignment horizontal="center" vertical="center"/>
      <protection hidden="1"/>
    </xf>
    <xf numFmtId="11" fontId="63" fillId="0" borderId="40" xfId="0" applyNumberFormat="1" applyFont="1" applyBorder="1" applyAlignment="1" applyProtection="1">
      <alignment horizontal="center" vertical="center"/>
      <protection hidden="1"/>
    </xf>
    <xf numFmtId="11" fontId="63" fillId="0" borderId="14" xfId="0" applyNumberFormat="1" applyFont="1" applyBorder="1" applyAlignment="1" applyProtection="1">
      <alignment horizontal="center" vertical="center"/>
      <protection hidden="1"/>
    </xf>
    <xf numFmtId="11" fontId="63" fillId="0" borderId="36" xfId="0" applyNumberFormat="1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56" fillId="0" borderId="0" xfId="0" applyFont="1" applyAlignment="1" applyProtection="1">
      <alignment horizontal="left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60" fillId="0" borderId="0" xfId="0" applyFont="1" applyAlignment="1" applyProtection="1">
      <alignment horizontal="center"/>
      <protection hidden="1"/>
    </xf>
    <xf numFmtId="0" fontId="39" fillId="0" borderId="0" xfId="0" applyFont="1" applyAlignment="1">
      <alignment/>
    </xf>
    <xf numFmtId="0" fontId="0" fillId="0" borderId="13" xfId="0" applyBorder="1" applyAlignment="1">
      <alignment/>
    </xf>
    <xf numFmtId="0" fontId="48" fillId="0" borderId="13" xfId="0" applyFont="1" applyBorder="1" applyAlignment="1" applyProtection="1">
      <alignment horizontal="center"/>
      <protection locked="0"/>
    </xf>
    <xf numFmtId="2" fontId="20" fillId="0" borderId="13" xfId="0" applyNumberFormat="1" applyFont="1" applyBorder="1" applyAlignment="1" applyProtection="1">
      <alignment horizontal="left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6" borderId="34" xfId="0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20" fillId="6" borderId="41" xfId="0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 applyProtection="1">
      <alignment horizontal="left"/>
      <protection locked="0"/>
    </xf>
    <xf numFmtId="0" fontId="0" fillId="8" borderId="13" xfId="0" applyFill="1" applyBorder="1" applyAlignment="1" applyProtection="1">
      <alignment horizontal="center" wrapText="1"/>
      <protection hidden="1"/>
    </xf>
    <xf numFmtId="0" fontId="0" fillId="8" borderId="13" xfId="0" applyFill="1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horizontal="left"/>
      <protection hidden="1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0" fontId="35" fillId="0" borderId="0" xfId="0" applyFont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/>
      <protection locked="0"/>
    </xf>
    <xf numFmtId="0" fontId="20" fillId="6" borderId="2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hidden="1"/>
    </xf>
    <xf numFmtId="0" fontId="35" fillId="0" borderId="0" xfId="0" applyFont="1" applyAlignment="1" applyProtection="1">
      <alignment horizontal="left" vertical="top" wrapText="1"/>
      <protection locked="0"/>
    </xf>
    <xf numFmtId="49" fontId="35" fillId="0" borderId="0" xfId="0" applyNumberFormat="1" applyFont="1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29" fillId="9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9" fillId="5" borderId="0" xfId="0" applyFont="1" applyFill="1" applyAlignment="1" applyProtection="1">
      <alignment horizontal="center" vertical="center" wrapText="1"/>
      <protection hidden="1"/>
    </xf>
    <xf numFmtId="0" fontId="31" fillId="6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41" fillId="6" borderId="17" xfId="0" applyFont="1" applyFill="1" applyBorder="1" applyAlignment="1" applyProtection="1">
      <alignment horizontal="center" vertical="top" wrapText="1"/>
      <protection hidden="1"/>
    </xf>
    <xf numFmtId="0" fontId="41" fillId="6" borderId="5" xfId="0" applyFont="1" applyFill="1" applyBorder="1" applyAlignment="1" applyProtection="1">
      <alignment horizontal="center" vertical="top" wrapText="1"/>
      <protection hidden="1"/>
    </xf>
    <xf numFmtId="0" fontId="41" fillId="6" borderId="18" xfId="0" applyFont="1" applyFill="1" applyBorder="1" applyAlignment="1" applyProtection="1">
      <alignment horizontal="center" vertical="top" wrapText="1"/>
      <protection hidden="1"/>
    </xf>
    <xf numFmtId="0" fontId="41" fillId="6" borderId="29" xfId="0" applyFont="1" applyFill="1" applyBorder="1" applyAlignment="1" applyProtection="1">
      <alignment horizontal="center" vertical="top" wrapText="1"/>
      <protection hidden="1"/>
    </xf>
    <xf numFmtId="0" fontId="41" fillId="6" borderId="0" xfId="0" applyFont="1" applyFill="1" applyBorder="1" applyAlignment="1" applyProtection="1">
      <alignment horizontal="center" vertical="top" wrapText="1"/>
      <protection hidden="1"/>
    </xf>
    <xf numFmtId="0" fontId="41" fillId="6" borderId="6" xfId="0" applyFont="1" applyFill="1" applyBorder="1" applyAlignment="1" applyProtection="1">
      <alignment horizontal="center" vertical="top" wrapText="1"/>
      <protection hidden="1"/>
    </xf>
    <xf numFmtId="0" fontId="41" fillId="6" borderId="30" xfId="0" applyFont="1" applyFill="1" applyBorder="1" applyAlignment="1" applyProtection="1">
      <alignment horizontal="center" vertical="top" wrapText="1"/>
      <protection hidden="1"/>
    </xf>
    <xf numFmtId="0" fontId="41" fillId="6" borderId="4" xfId="0" applyFont="1" applyFill="1" applyBorder="1" applyAlignment="1" applyProtection="1">
      <alignment horizontal="center" vertical="top" wrapText="1"/>
      <protection hidden="1"/>
    </xf>
    <xf numFmtId="0" fontId="41" fillId="6" borderId="11" xfId="0" applyFont="1" applyFill="1" applyBorder="1" applyAlignment="1" applyProtection="1">
      <alignment horizontal="center" vertical="top" wrapText="1"/>
      <protection hidden="1"/>
    </xf>
    <xf numFmtId="0" fontId="25" fillId="6" borderId="13" xfId="0" applyFont="1" applyFill="1" applyBorder="1" applyAlignment="1">
      <alignment horizontal="center" wrapText="1"/>
    </xf>
    <xf numFmtId="0" fontId="3" fillId="0" borderId="48" xfId="0" applyFont="1" applyFill="1" applyBorder="1" applyAlignment="1" applyProtection="1">
      <alignment horizontal="center" shrinkToFit="1"/>
      <protection hidden="1"/>
    </xf>
    <xf numFmtId="0" fontId="1" fillId="0" borderId="49" xfId="0" applyFont="1" applyFill="1" applyBorder="1" applyAlignment="1" applyProtection="1">
      <alignment horizontal="center" shrinkToFit="1"/>
      <protection hidden="1"/>
    </xf>
    <xf numFmtId="0" fontId="1" fillId="0" borderId="5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shrinkToFit="1"/>
      <protection hidden="1"/>
    </xf>
    <xf numFmtId="0" fontId="1" fillId="0" borderId="38" xfId="0" applyFont="1" applyFill="1" applyBorder="1" applyAlignment="1" applyProtection="1">
      <alignment horizontal="center" vertical="center" shrinkToFit="1"/>
      <protection hidden="1"/>
    </xf>
    <xf numFmtId="0" fontId="16" fillId="0" borderId="51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left" vertical="top" wrapText="1"/>
    </xf>
    <xf numFmtId="0" fontId="16" fillId="0" borderId="52" xfId="0" applyFont="1" applyFill="1" applyBorder="1" applyAlignment="1">
      <alignment horizontal="left" vertical="top" wrapText="1"/>
    </xf>
    <xf numFmtId="0" fontId="1" fillId="0" borderId="5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top" wrapText="1"/>
      <protection hidden="1"/>
    </xf>
    <xf numFmtId="0" fontId="29" fillId="0" borderId="39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40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4" fillId="0" borderId="2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6" fillId="0" borderId="47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41" xfId="0" applyFont="1" applyBorder="1" applyAlignment="1" applyProtection="1">
      <alignment horizontal="center" vertical="top" wrapText="1"/>
      <protection hidden="1"/>
    </xf>
    <xf numFmtId="0" fontId="6" fillId="0" borderId="4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43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0" fontId="44" fillId="8" borderId="13" xfId="0" applyFont="1" applyFill="1" applyBorder="1" applyAlignment="1" applyProtection="1">
      <alignment horizontal="center" wrapText="1"/>
      <protection hidden="1"/>
    </xf>
    <xf numFmtId="0" fontId="27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6" fillId="0" borderId="29" xfId="0" applyFont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11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11" fontId="6" fillId="2" borderId="9" xfId="0" applyNumberFormat="1" applyFont="1" applyFill="1" applyBorder="1" applyAlignment="1" applyProtection="1">
      <alignment horizontal="center" vertical="center" wrapText="1"/>
      <protection hidden="1"/>
    </xf>
    <xf numFmtId="11" fontId="6" fillId="2" borderId="38" xfId="0" applyNumberFormat="1" applyFont="1" applyFill="1" applyBorder="1" applyAlignment="1" applyProtection="1">
      <alignment horizontal="center" vertical="center" wrapText="1"/>
      <protection hidden="1"/>
    </xf>
    <xf numFmtId="2" fontId="53" fillId="2" borderId="18" xfId="0" applyNumberFormat="1" applyFont="1" applyFill="1" applyBorder="1" applyAlignment="1" applyProtection="1">
      <alignment horizontal="center" vertical="center" wrapText="1"/>
      <protection hidden="1"/>
    </xf>
    <xf numFmtId="2" fontId="53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53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32" fillId="4" borderId="34" xfId="0" applyFont="1" applyFill="1" applyBorder="1" applyAlignment="1" applyProtection="1">
      <alignment horizontal="center" vertical="center" wrapText="1"/>
      <protection hidden="1"/>
    </xf>
    <xf numFmtId="0" fontId="32" fillId="4" borderId="3" xfId="0" applyFont="1" applyFill="1" applyBorder="1" applyAlignment="1" applyProtection="1">
      <alignment horizontal="center" vertical="center" wrapText="1"/>
      <protection hidden="1"/>
    </xf>
    <xf numFmtId="0" fontId="32" fillId="4" borderId="7" xfId="0" applyFont="1" applyFill="1" applyBorder="1" applyAlignment="1" applyProtection="1">
      <alignment horizontal="center" vertical="center" wrapText="1"/>
      <protection hidden="1"/>
    </xf>
    <xf numFmtId="0" fontId="32" fillId="2" borderId="13" xfId="0" applyFont="1" applyFill="1" applyBorder="1" applyAlignment="1" applyProtection="1">
      <alignment horizontal="center" vertical="center" wrapText="1"/>
      <protection hidden="1"/>
    </xf>
    <xf numFmtId="0" fontId="52" fillId="2" borderId="13" xfId="0" applyFont="1" applyFill="1" applyBorder="1" applyAlignment="1" applyProtection="1">
      <alignment horizontal="center" vertical="center" wrapText="1"/>
      <protection hidden="1"/>
    </xf>
    <xf numFmtId="11" fontId="7" fillId="0" borderId="0" xfId="0" applyNumberFormat="1" applyFont="1" applyBorder="1" applyAlignment="1" applyProtection="1">
      <alignment horizontal="center" vertical="center" wrapText="1"/>
      <protection hidden="1"/>
    </xf>
    <xf numFmtId="0" fontId="30" fillId="10" borderId="0" xfId="0" applyFont="1" applyFill="1" applyAlignment="1">
      <alignment horizontal="center" vertical="center" wrapText="1"/>
    </xf>
    <xf numFmtId="49" fontId="35" fillId="0" borderId="13" xfId="0" applyNumberFormat="1" applyFont="1" applyBorder="1" applyAlignment="1" applyProtection="1">
      <alignment horizontal="left" vertical="center"/>
      <protection locked="0"/>
    </xf>
    <xf numFmtId="49" fontId="35" fillId="0" borderId="13" xfId="0" applyNumberFormat="1" applyFont="1" applyBorder="1" applyAlignment="1" applyProtection="1" quotePrefix="1">
      <alignment horizontal="left" vertical="center"/>
      <protection locked="0"/>
    </xf>
    <xf numFmtId="49" fontId="0" fillId="0" borderId="0" xfId="0" applyNumberFormat="1" applyAlignment="1" applyProtection="1">
      <alignment/>
      <protection hidden="1"/>
    </xf>
    <xf numFmtId="49" fontId="0" fillId="7" borderId="13" xfId="0" applyNumberFormat="1" applyFill="1" applyBorder="1" applyAlignment="1" applyProtection="1">
      <alignment wrapText="1"/>
      <protection hidden="1"/>
    </xf>
    <xf numFmtId="49" fontId="0" fillId="0" borderId="0" xfId="0" applyNumberFormat="1" applyFill="1" applyAlignment="1" applyProtection="1">
      <alignment wrapText="1"/>
      <protection hidden="1"/>
    </xf>
    <xf numFmtId="49" fontId="0" fillId="0" borderId="55" xfId="0" applyNumberFormat="1" applyBorder="1" applyAlignment="1">
      <alignment horizontal="center" vertical="top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35" fillId="0" borderId="37" xfId="0" applyNumberFormat="1" applyFont="1" applyBorder="1" applyAlignment="1" applyProtection="1">
      <alignment horizontal="center" vertical="center" wrapText="1"/>
      <protection locked="0"/>
    </xf>
    <xf numFmtId="49" fontId="35" fillId="0" borderId="38" xfId="0" applyNumberFormat="1" applyFont="1" applyBorder="1" applyAlignment="1" applyProtection="1">
      <alignment horizontal="center" vertical="center" wrapText="1"/>
      <protection locked="0"/>
    </xf>
    <xf numFmtId="49" fontId="35" fillId="0" borderId="30" xfId="0" applyNumberFormat="1" applyFont="1" applyBorder="1" applyAlignment="1" applyProtection="1">
      <alignment horizontal="center" vertical="center" wrapText="1"/>
      <protection locked="0"/>
    </xf>
    <xf numFmtId="49" fontId="35" fillId="0" borderId="39" xfId="0" applyNumberFormat="1" applyFont="1" applyBorder="1" applyAlignment="1" applyProtection="1">
      <alignment horizontal="center" vertical="center" wrapText="1"/>
      <protection locked="0"/>
    </xf>
    <xf numFmtId="49" fontId="35" fillId="0" borderId="13" xfId="0" applyNumberFormat="1" applyFont="1" applyBorder="1" applyAlignment="1" applyProtection="1">
      <alignment horizontal="center" vertical="center" wrapText="1"/>
      <protection locked="0"/>
    </xf>
    <xf numFmtId="49" fontId="35" fillId="0" borderId="34" xfId="0" applyNumberFormat="1" applyFont="1" applyBorder="1" applyAlignment="1" applyProtection="1">
      <alignment horizontal="center" vertical="center" wrapText="1"/>
      <protection locked="0"/>
    </xf>
    <xf numFmtId="49" fontId="35" fillId="0" borderId="13" xfId="0" applyNumberFormat="1" applyFont="1" applyBorder="1" applyAlignment="1" applyProtection="1" quotePrefix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Factor Effect Plot </a:t>
            </a:r>
            <a:r>
              <a:rPr lang="en-US" cap="none" sz="11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for Quality Char Name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775"/>
          <c:w val="0.6585"/>
          <c:h val="0.74975"/>
        </c:manualLayout>
      </c:layout>
      <c:lineChart>
        <c:grouping val="standard"/>
        <c:varyColors val="0"/>
        <c:ser>
          <c:idx val="0"/>
          <c:order val="0"/>
          <c:tx>
            <c:v>Column #1 Factor Effect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delete val="1"/>
            </c:dLbl>
            <c:dLbl>
              <c:idx val="3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errBars>
            <c:errDir val="y"/>
            <c:errBarType val="both"/>
            <c:errValType val="cust"/>
            <c:plus>
              <c:numRef>
                <c:f>'ANOVA -smaller-the-Better '!$G$29</c:f>
                <c:numCache>
                  <c:ptCount val="1"/>
                  <c:pt idx="0">
                    <c:v>7.297517495072526</c:v>
                  </c:pt>
                </c:numCache>
              </c:numRef>
            </c:plus>
            <c:minus>
              <c:numRef>
                <c:f>'ANOVA -smaller-the-Better '!$G$29</c:f>
                <c:numCache>
                  <c:ptCount val="1"/>
                  <c:pt idx="0">
                    <c:v>7.297517495072526</c:v>
                  </c:pt>
                </c:numCache>
              </c:numRef>
            </c:minus>
            <c:noEndCap val="0"/>
            <c:spPr>
              <a:ln w="12700">
                <a:solidFill>
                  <a:srgbClr val="FFFF99"/>
                </a:solidFill>
              </a:ln>
            </c:spPr>
          </c:errBars>
          <c:cat>
            <c:strRef>
              <c:f>'Main Effects &amp; "AXB"'!$D$4:$AS$4</c:f>
              <c:strCache>
                <c:ptCount val="41"/>
                <c:pt idx="1">
                  <c:v>empty</c:v>
                </c:pt>
                <c:pt idx="2">
                  <c:v>empty</c:v>
                </c:pt>
                <c:pt idx="4">
                  <c:v>T1</c:v>
                </c:pt>
                <c:pt idx="5">
                  <c:v>T2</c:v>
                </c:pt>
                <c:pt idx="6">
                  <c:v>T3</c:v>
                </c:pt>
                <c:pt idx="8">
                  <c:v>E1T1</c:v>
                </c:pt>
                <c:pt idx="9">
                  <c:v>E1T2</c:v>
                </c:pt>
                <c:pt idx="10">
                  <c:v>E1T3</c:v>
                </c:pt>
                <c:pt idx="12">
                  <c:v>E2T1</c:v>
                </c:pt>
                <c:pt idx="13">
                  <c:v>E2T2</c:v>
                </c:pt>
                <c:pt idx="14">
                  <c:v>E2T3</c:v>
                </c:pt>
                <c:pt idx="16">
                  <c:v>P1</c:v>
                </c:pt>
                <c:pt idx="17">
                  <c:v>P2</c:v>
                </c:pt>
                <c:pt idx="18">
                  <c:v>P3</c:v>
                </c:pt>
                <c:pt idx="20">
                  <c:v>N1</c:v>
                </c:pt>
                <c:pt idx="21">
                  <c:v>N2</c:v>
                </c:pt>
                <c:pt idx="22">
                  <c:v>N3</c:v>
                </c:pt>
                <c:pt idx="24">
                  <c:v>S1</c:v>
                </c:pt>
                <c:pt idx="25">
                  <c:v>S2</c:v>
                </c:pt>
                <c:pt idx="26">
                  <c:v>S3</c:v>
                </c:pt>
                <c:pt idx="28">
                  <c:v>I1</c:v>
                </c:pt>
                <c:pt idx="29">
                  <c:v>I2</c:v>
                </c:pt>
                <c:pt idx="30">
                  <c:v>I3</c:v>
                </c:pt>
                <c:pt idx="32">
                  <c:v>-</c:v>
                </c:pt>
                <c:pt idx="33">
                  <c:v>-</c:v>
                </c:pt>
                <c:pt idx="34">
                  <c:v>-</c:v>
                </c:pt>
                <c:pt idx="36">
                  <c:v>C1</c:v>
                </c:pt>
                <c:pt idx="37">
                  <c:v>C2</c:v>
                </c:pt>
                <c:pt idx="38">
                  <c:v>C3</c:v>
                </c:pt>
                <c:pt idx="40">
                  <c:v>Ov-Mean</c:v>
                </c:pt>
              </c:strCache>
            </c:strRef>
          </c:cat>
          <c:val>
            <c:numRef>
              <c:f>'Main Effects &amp; "AXB"'!$E$26:$AS$26</c:f>
              <c:numCache>
                <c:ptCount val="41"/>
                <c:pt idx="1">
                  <c:v>-48.023613434391685</c:v>
                </c:pt>
                <c:pt idx="2">
                  <c:v>-42.703343586083406</c:v>
                </c:pt>
              </c:numCache>
            </c:numRef>
          </c:val>
          <c:smooth val="0"/>
        </c:ser>
        <c:ser>
          <c:idx val="1"/>
          <c:order val="1"/>
          <c:tx>
            <c:v>Column #2-#8 Factor Effects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'ANOVA -smaller-the-Better '!$G$30</c:f>
                <c:numCache>
                  <c:ptCount val="1"/>
                  <c:pt idx="0">
                    <c:v>8.937597125980473</c:v>
                  </c:pt>
                </c:numCache>
              </c:numRef>
            </c:plus>
            <c:minus>
              <c:numRef>
                <c:f>'ANOVA -smaller-the-Better '!$G$30</c:f>
                <c:numCache>
                  <c:ptCount val="1"/>
                  <c:pt idx="0">
                    <c:v>8.937597125980473</c:v>
                  </c:pt>
                </c:numCache>
              </c:numRef>
            </c:minus>
            <c:noEndCap val="0"/>
            <c:spPr>
              <a:ln w="12700">
                <a:solidFill>
                  <a:srgbClr val="CCFFFF"/>
                </a:solidFill>
              </a:ln>
            </c:spPr>
          </c:errBars>
          <c:val>
            <c:numRef>
              <c:f>'Main Effects &amp; "AXB"'!$E$27:$AS$27</c:f>
              <c:numCache>
                <c:ptCount val="41"/>
                <c:pt idx="4">
                  <c:v>-24.227495981941278</c:v>
                </c:pt>
                <c:pt idx="5">
                  <c:v>-50.10393898438165</c:v>
                </c:pt>
                <c:pt idx="6">
                  <c:v>-61.7590005643897</c:v>
                </c:pt>
                <c:pt idx="8">
                  <c:v>-27.32040149065462</c:v>
                </c:pt>
                <c:pt idx="9">
                  <c:v>-50.17643211084751</c:v>
                </c:pt>
                <c:pt idx="10">
                  <c:v>-66.57400670167293</c:v>
                </c:pt>
                <c:pt idx="12">
                  <c:v>-21.134590473227934</c:v>
                </c:pt>
                <c:pt idx="13">
                  <c:v>-50.031445857915806</c:v>
                </c:pt>
                <c:pt idx="14">
                  <c:v>-56.943994427106475</c:v>
                </c:pt>
                <c:pt idx="16">
                  <c:v>-27.551928866861704</c:v>
                </c:pt>
                <c:pt idx="17">
                  <c:v>-47.4418425402097</c:v>
                </c:pt>
                <c:pt idx="18">
                  <c:v>-61.09666412364123</c:v>
                </c:pt>
                <c:pt idx="20">
                  <c:v>-39.02770784610504</c:v>
                </c:pt>
                <c:pt idx="21">
                  <c:v>-55.992465761398954</c:v>
                </c:pt>
                <c:pt idx="22">
                  <c:v>-41.070261923208626</c:v>
                </c:pt>
                <c:pt idx="24">
                  <c:v>-39.2026562915849</c:v>
                </c:pt>
                <c:pt idx="25">
                  <c:v>-46.85203658850718</c:v>
                </c:pt>
                <c:pt idx="26">
                  <c:v>-50.035742650620556</c:v>
                </c:pt>
                <c:pt idx="28">
                  <c:v>-51.52440983508726</c:v>
                </c:pt>
                <c:pt idx="29">
                  <c:v>-40.53667356212213</c:v>
                </c:pt>
                <c:pt idx="30">
                  <c:v>-44.02935213350323</c:v>
                </c:pt>
                <c:pt idx="32">
                  <c:v>-41.483743217257995</c:v>
                </c:pt>
                <c:pt idx="33">
                  <c:v>-49.761050158230944</c:v>
                </c:pt>
                <c:pt idx="34">
                  <c:v>-44.845642155223686</c:v>
                </c:pt>
                <c:pt idx="36">
                  <c:v>-45.55849828939992</c:v>
                </c:pt>
                <c:pt idx="37">
                  <c:v>-41.580634506167065</c:v>
                </c:pt>
                <c:pt idx="38">
                  <c:v>-48.95130273514564</c:v>
                </c:pt>
              </c:numCache>
            </c:numRef>
          </c:val>
          <c:smooth val="0"/>
        </c:ser>
        <c:ser>
          <c:idx val="2"/>
          <c:order val="2"/>
          <c:tx>
            <c:v>Ov Mean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0"/>
              <c:delete val="1"/>
            </c:dLbl>
            <c:delete val="1"/>
          </c:dLbls>
          <c:val>
            <c:numRef>
              <c:f>'Main Effects &amp; "AXB"'!$E$28:$AS$28</c:f>
              <c:numCache>
                <c:ptCount val="41"/>
                <c:pt idx="0">
                  <c:v>-45.36347851023755</c:v>
                </c:pt>
                <c:pt idx="1">
                  <c:v>-45.36347851023755</c:v>
                </c:pt>
                <c:pt idx="2">
                  <c:v>-45.36347851023755</c:v>
                </c:pt>
                <c:pt idx="3">
                  <c:v>-45.36347851023755</c:v>
                </c:pt>
                <c:pt idx="4">
                  <c:v>-45.36347851023755</c:v>
                </c:pt>
                <c:pt idx="5">
                  <c:v>-45.36347851023755</c:v>
                </c:pt>
                <c:pt idx="6">
                  <c:v>-45.36347851023755</c:v>
                </c:pt>
                <c:pt idx="7">
                  <c:v>-45.36347851023755</c:v>
                </c:pt>
                <c:pt idx="8">
                  <c:v>-45.36347851023755</c:v>
                </c:pt>
                <c:pt idx="9">
                  <c:v>-45.36347851023755</c:v>
                </c:pt>
                <c:pt idx="10">
                  <c:v>-45.36347851023755</c:v>
                </c:pt>
                <c:pt idx="11">
                  <c:v>-45.36347851023755</c:v>
                </c:pt>
                <c:pt idx="12">
                  <c:v>-45.36347851023755</c:v>
                </c:pt>
                <c:pt idx="13">
                  <c:v>-45.36347851023755</c:v>
                </c:pt>
                <c:pt idx="14">
                  <c:v>-45.36347851023755</c:v>
                </c:pt>
                <c:pt idx="15">
                  <c:v>-45.36347851023755</c:v>
                </c:pt>
                <c:pt idx="16">
                  <c:v>-45.36347851023755</c:v>
                </c:pt>
                <c:pt idx="17">
                  <c:v>-45.36347851023755</c:v>
                </c:pt>
                <c:pt idx="18">
                  <c:v>-45.36347851023755</c:v>
                </c:pt>
                <c:pt idx="19">
                  <c:v>-45.36347851023755</c:v>
                </c:pt>
                <c:pt idx="20">
                  <c:v>-45.36347851023755</c:v>
                </c:pt>
                <c:pt idx="21">
                  <c:v>-45.36347851023755</c:v>
                </c:pt>
                <c:pt idx="22">
                  <c:v>-45.36347851023755</c:v>
                </c:pt>
                <c:pt idx="23">
                  <c:v>-45.36347851023755</c:v>
                </c:pt>
                <c:pt idx="24">
                  <c:v>-45.36347851023755</c:v>
                </c:pt>
                <c:pt idx="25">
                  <c:v>-45.36347851023755</c:v>
                </c:pt>
                <c:pt idx="26">
                  <c:v>-45.36347851023755</c:v>
                </c:pt>
                <c:pt idx="27">
                  <c:v>-45.36347851023755</c:v>
                </c:pt>
                <c:pt idx="28">
                  <c:v>-45.36347851023755</c:v>
                </c:pt>
                <c:pt idx="29">
                  <c:v>-45.36347851023755</c:v>
                </c:pt>
                <c:pt idx="30">
                  <c:v>-45.36347851023755</c:v>
                </c:pt>
                <c:pt idx="31">
                  <c:v>-45.36347851023755</c:v>
                </c:pt>
                <c:pt idx="32">
                  <c:v>-45.36347851023755</c:v>
                </c:pt>
                <c:pt idx="33">
                  <c:v>-45.36347851023755</c:v>
                </c:pt>
                <c:pt idx="34">
                  <c:v>-45.36347851023755</c:v>
                </c:pt>
                <c:pt idx="35">
                  <c:v>-45.36347851023755</c:v>
                </c:pt>
                <c:pt idx="36">
                  <c:v>-45.36347851023755</c:v>
                </c:pt>
                <c:pt idx="37">
                  <c:v>-45.36347851023755</c:v>
                </c:pt>
                <c:pt idx="38">
                  <c:v>-45.36347851023755</c:v>
                </c:pt>
                <c:pt idx="39">
                  <c:v>-45.36347851023755</c:v>
                </c:pt>
                <c:pt idx="40">
                  <c:v>-45.36347851023755</c:v>
                </c:pt>
              </c:numCache>
            </c:numRef>
          </c:val>
          <c:smooth val="0"/>
        </c:ser>
        <c:marker val="1"/>
        <c:axId val="46652036"/>
        <c:axId val="17215141"/>
      </c:lineChart>
      <c:catAx>
        <c:axId val="4665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Control Factors and Their Levels 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215141"/>
        <c:crosses val="autoZero"/>
        <c:auto val="1"/>
        <c:lblOffset val="100"/>
        <c:tickLblSkip val="1"/>
        <c:noMultiLvlLbl val="0"/>
      </c:catAx>
      <c:valAx>
        <c:axId val="17215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S/N Ratio (smaller-the-better) in dB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Factor Effect Plot 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9075"/>
          <c:w val="0.659"/>
          <c:h val="0.73925"/>
        </c:manualLayout>
      </c:layout>
      <c:lineChart>
        <c:grouping val="standard"/>
        <c:varyColors val="0"/>
        <c:ser>
          <c:idx val="0"/>
          <c:order val="0"/>
          <c:tx>
            <c:v>Column #1 Factor Effect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delete val="1"/>
            </c:dLbl>
            <c:dLbl>
              <c:idx val="3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errBars>
            <c:errDir val="y"/>
            <c:errBarType val="both"/>
            <c:errValType val="cust"/>
            <c:plus>
              <c:numRef>
                <c:f>'ANOVA -smaller-the-Better '!$G$29</c:f>
                <c:numCache>
                  <c:ptCount val="1"/>
                  <c:pt idx="0">
                    <c:v>7.297517495072526</c:v>
                  </c:pt>
                </c:numCache>
              </c:numRef>
            </c:plus>
            <c:minus>
              <c:numRef>
                <c:f>'ANOVA -smaller-the-Better '!$G$29</c:f>
                <c:numCache>
                  <c:ptCount val="1"/>
                  <c:pt idx="0">
                    <c:v>7.297517495072526</c:v>
                  </c:pt>
                </c:numCache>
              </c:numRef>
            </c:minus>
            <c:noEndCap val="0"/>
            <c:spPr>
              <a:ln w="12700">
                <a:solidFill>
                  <a:srgbClr val="FFFF99"/>
                </a:solidFill>
              </a:ln>
            </c:spPr>
          </c:errBars>
          <c:cat>
            <c:strRef>
              <c:f>'Main Effects &amp; "AXB"'!$D$4:$AS$4</c:f>
              <c:strCache>
                <c:ptCount val="41"/>
                <c:pt idx="1">
                  <c:v>empty</c:v>
                </c:pt>
                <c:pt idx="2">
                  <c:v>empty</c:v>
                </c:pt>
                <c:pt idx="4">
                  <c:v>T1</c:v>
                </c:pt>
                <c:pt idx="5">
                  <c:v>T2</c:v>
                </c:pt>
                <c:pt idx="6">
                  <c:v>T3</c:v>
                </c:pt>
                <c:pt idx="8">
                  <c:v>E1T1</c:v>
                </c:pt>
                <c:pt idx="9">
                  <c:v>E1T2</c:v>
                </c:pt>
                <c:pt idx="10">
                  <c:v>E1T3</c:v>
                </c:pt>
                <c:pt idx="12">
                  <c:v>E2T1</c:v>
                </c:pt>
                <c:pt idx="13">
                  <c:v>E2T2</c:v>
                </c:pt>
                <c:pt idx="14">
                  <c:v>E2T3</c:v>
                </c:pt>
                <c:pt idx="16">
                  <c:v>P1</c:v>
                </c:pt>
                <c:pt idx="17">
                  <c:v>P2</c:v>
                </c:pt>
                <c:pt idx="18">
                  <c:v>P3</c:v>
                </c:pt>
                <c:pt idx="20">
                  <c:v>N1</c:v>
                </c:pt>
                <c:pt idx="21">
                  <c:v>N2</c:v>
                </c:pt>
                <c:pt idx="22">
                  <c:v>N3</c:v>
                </c:pt>
                <c:pt idx="24">
                  <c:v>S1</c:v>
                </c:pt>
                <c:pt idx="25">
                  <c:v>S2</c:v>
                </c:pt>
                <c:pt idx="26">
                  <c:v>S3</c:v>
                </c:pt>
                <c:pt idx="28">
                  <c:v>I1</c:v>
                </c:pt>
                <c:pt idx="29">
                  <c:v>I2</c:v>
                </c:pt>
                <c:pt idx="30">
                  <c:v>I3</c:v>
                </c:pt>
                <c:pt idx="32">
                  <c:v>-</c:v>
                </c:pt>
                <c:pt idx="33">
                  <c:v>-</c:v>
                </c:pt>
                <c:pt idx="34">
                  <c:v>-</c:v>
                </c:pt>
                <c:pt idx="36">
                  <c:v>C1</c:v>
                </c:pt>
                <c:pt idx="37">
                  <c:v>C2</c:v>
                </c:pt>
                <c:pt idx="38">
                  <c:v>C3</c:v>
                </c:pt>
                <c:pt idx="40">
                  <c:v>Ov-Mean</c:v>
                </c:pt>
              </c:strCache>
            </c:strRef>
          </c:cat>
          <c:val>
            <c:numRef>
              <c:f>'Main Effects &amp; "AXB"'!$E$26:$AS$26</c:f>
              <c:numCache>
                <c:ptCount val="41"/>
                <c:pt idx="1">
                  <c:v>-48.023613434391685</c:v>
                </c:pt>
                <c:pt idx="2">
                  <c:v>-42.703343586083406</c:v>
                </c:pt>
              </c:numCache>
            </c:numRef>
          </c:val>
          <c:smooth val="0"/>
        </c:ser>
        <c:ser>
          <c:idx val="1"/>
          <c:order val="1"/>
          <c:tx>
            <c:v>Column #2-#8 Factor Effects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'ANOVA -smaller-the-Better '!$G$30</c:f>
                <c:numCache>
                  <c:ptCount val="1"/>
                  <c:pt idx="0">
                    <c:v>8.937597125980473</c:v>
                  </c:pt>
                </c:numCache>
              </c:numRef>
            </c:plus>
            <c:minus>
              <c:numRef>
                <c:f>'ANOVA -smaller-the-Better '!$G$30</c:f>
                <c:numCache>
                  <c:ptCount val="1"/>
                  <c:pt idx="0">
                    <c:v>8.937597125980473</c:v>
                  </c:pt>
                </c:numCache>
              </c:numRef>
            </c:minus>
            <c:noEndCap val="0"/>
            <c:spPr>
              <a:ln w="12700">
                <a:solidFill>
                  <a:srgbClr val="CCFFFF"/>
                </a:solidFill>
              </a:ln>
            </c:spPr>
          </c:errBars>
          <c:val>
            <c:numRef>
              <c:f>'Main Effects &amp; "AXB"'!$E$27:$AS$27</c:f>
              <c:numCache>
                <c:ptCount val="41"/>
                <c:pt idx="4">
                  <c:v>-24.227495981941278</c:v>
                </c:pt>
                <c:pt idx="5">
                  <c:v>-50.10393898438165</c:v>
                </c:pt>
                <c:pt idx="6">
                  <c:v>-61.7590005643897</c:v>
                </c:pt>
                <c:pt idx="8">
                  <c:v>-27.32040149065462</c:v>
                </c:pt>
                <c:pt idx="9">
                  <c:v>-50.17643211084751</c:v>
                </c:pt>
                <c:pt idx="10">
                  <c:v>-66.57400670167293</c:v>
                </c:pt>
                <c:pt idx="12">
                  <c:v>-21.134590473227934</c:v>
                </c:pt>
                <c:pt idx="13">
                  <c:v>-50.031445857915806</c:v>
                </c:pt>
                <c:pt idx="14">
                  <c:v>-56.943994427106475</c:v>
                </c:pt>
                <c:pt idx="16">
                  <c:v>-27.551928866861704</c:v>
                </c:pt>
                <c:pt idx="17">
                  <c:v>-47.4418425402097</c:v>
                </c:pt>
                <c:pt idx="18">
                  <c:v>-61.09666412364123</c:v>
                </c:pt>
                <c:pt idx="20">
                  <c:v>-39.02770784610504</c:v>
                </c:pt>
                <c:pt idx="21">
                  <c:v>-55.992465761398954</c:v>
                </c:pt>
                <c:pt idx="22">
                  <c:v>-41.070261923208626</c:v>
                </c:pt>
                <c:pt idx="24">
                  <c:v>-39.2026562915849</c:v>
                </c:pt>
                <c:pt idx="25">
                  <c:v>-46.85203658850718</c:v>
                </c:pt>
                <c:pt idx="26">
                  <c:v>-50.035742650620556</c:v>
                </c:pt>
                <c:pt idx="28">
                  <c:v>-51.52440983508726</c:v>
                </c:pt>
                <c:pt idx="29">
                  <c:v>-40.53667356212213</c:v>
                </c:pt>
                <c:pt idx="30">
                  <c:v>-44.02935213350323</c:v>
                </c:pt>
                <c:pt idx="32">
                  <c:v>-41.483743217257995</c:v>
                </c:pt>
                <c:pt idx="33">
                  <c:v>-49.761050158230944</c:v>
                </c:pt>
                <c:pt idx="34">
                  <c:v>-44.845642155223686</c:v>
                </c:pt>
                <c:pt idx="36">
                  <c:v>-45.55849828939992</c:v>
                </c:pt>
                <c:pt idx="37">
                  <c:v>-41.580634506167065</c:v>
                </c:pt>
                <c:pt idx="38">
                  <c:v>-48.95130273514564</c:v>
                </c:pt>
              </c:numCache>
            </c:numRef>
          </c:val>
          <c:smooth val="0"/>
        </c:ser>
        <c:ser>
          <c:idx val="2"/>
          <c:order val="2"/>
          <c:tx>
            <c:v>Ov Mean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delete val="1"/>
            </c:dLbl>
            <c:dLbl>
              <c:idx val="4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val>
            <c:numRef>
              <c:f>'Main Effects &amp; "AXB"'!$E$28:$AS$28</c:f>
              <c:numCache>
                <c:ptCount val="41"/>
                <c:pt idx="0">
                  <c:v>-45.36347851023755</c:v>
                </c:pt>
                <c:pt idx="1">
                  <c:v>-45.36347851023755</c:v>
                </c:pt>
                <c:pt idx="2">
                  <c:v>-45.36347851023755</c:v>
                </c:pt>
                <c:pt idx="3">
                  <c:v>-45.36347851023755</c:v>
                </c:pt>
                <c:pt idx="4">
                  <c:v>-45.36347851023755</c:v>
                </c:pt>
                <c:pt idx="5">
                  <c:v>-45.36347851023755</c:v>
                </c:pt>
                <c:pt idx="6">
                  <c:v>-45.36347851023755</c:v>
                </c:pt>
                <c:pt idx="7">
                  <c:v>-45.36347851023755</c:v>
                </c:pt>
                <c:pt idx="8">
                  <c:v>-45.36347851023755</c:v>
                </c:pt>
                <c:pt idx="9">
                  <c:v>-45.36347851023755</c:v>
                </c:pt>
                <c:pt idx="10">
                  <c:v>-45.36347851023755</c:v>
                </c:pt>
                <c:pt idx="11">
                  <c:v>-45.36347851023755</c:v>
                </c:pt>
                <c:pt idx="12">
                  <c:v>-45.36347851023755</c:v>
                </c:pt>
                <c:pt idx="13">
                  <c:v>-45.36347851023755</c:v>
                </c:pt>
                <c:pt idx="14">
                  <c:v>-45.36347851023755</c:v>
                </c:pt>
                <c:pt idx="15">
                  <c:v>-45.36347851023755</c:v>
                </c:pt>
                <c:pt idx="16">
                  <c:v>-45.36347851023755</c:v>
                </c:pt>
                <c:pt idx="17">
                  <c:v>-45.36347851023755</c:v>
                </c:pt>
                <c:pt idx="18">
                  <c:v>-45.36347851023755</c:v>
                </c:pt>
                <c:pt idx="19">
                  <c:v>-45.36347851023755</c:v>
                </c:pt>
                <c:pt idx="20">
                  <c:v>-45.36347851023755</c:v>
                </c:pt>
                <c:pt idx="21">
                  <c:v>-45.36347851023755</c:v>
                </c:pt>
                <c:pt idx="22">
                  <c:v>-45.36347851023755</c:v>
                </c:pt>
                <c:pt idx="23">
                  <c:v>-45.36347851023755</c:v>
                </c:pt>
                <c:pt idx="24">
                  <c:v>-45.36347851023755</c:v>
                </c:pt>
                <c:pt idx="25">
                  <c:v>-45.36347851023755</c:v>
                </c:pt>
                <c:pt idx="26">
                  <c:v>-45.36347851023755</c:v>
                </c:pt>
                <c:pt idx="27">
                  <c:v>-45.36347851023755</c:v>
                </c:pt>
                <c:pt idx="28">
                  <c:v>-45.36347851023755</c:v>
                </c:pt>
                <c:pt idx="29">
                  <c:v>-45.36347851023755</c:v>
                </c:pt>
                <c:pt idx="30">
                  <c:v>-45.36347851023755</c:v>
                </c:pt>
                <c:pt idx="31">
                  <c:v>-45.36347851023755</c:v>
                </c:pt>
                <c:pt idx="32">
                  <c:v>-45.36347851023755</c:v>
                </c:pt>
                <c:pt idx="33">
                  <c:v>-45.36347851023755</c:v>
                </c:pt>
                <c:pt idx="34">
                  <c:v>-45.36347851023755</c:v>
                </c:pt>
                <c:pt idx="35">
                  <c:v>-45.36347851023755</c:v>
                </c:pt>
                <c:pt idx="36">
                  <c:v>-45.36347851023755</c:v>
                </c:pt>
                <c:pt idx="37">
                  <c:v>-45.36347851023755</c:v>
                </c:pt>
                <c:pt idx="38">
                  <c:v>-45.36347851023755</c:v>
                </c:pt>
                <c:pt idx="39">
                  <c:v>-45.36347851023755</c:v>
                </c:pt>
                <c:pt idx="40">
                  <c:v>-45.36347851023755</c:v>
                </c:pt>
              </c:numCache>
            </c:numRef>
          </c:val>
          <c:smooth val="0"/>
        </c:ser>
        <c:marker val="1"/>
        <c:axId val="20718542"/>
        <c:axId val="52249151"/>
      </c:lineChart>
      <c:catAx>
        <c:axId val="2071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Control Factors and Their Levels 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52249151"/>
        <c:crosses val="autoZero"/>
        <c:auto val="1"/>
        <c:lblOffset val="100"/>
        <c:tickLblSkip val="1"/>
        <c:noMultiLvlLbl val="0"/>
      </c:catAx>
      <c:valAx>
        <c:axId val="5224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S/N Ratio (smaller-the-Better) in dB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18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</xdr:row>
      <xdr:rowOff>76200</xdr:rowOff>
    </xdr:from>
    <xdr:to>
      <xdr:col>11</xdr:col>
      <xdr:colOff>561975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6915150" y="1085850"/>
          <a:ext cx="4476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19050</xdr:rowOff>
    </xdr:from>
    <xdr:to>
      <xdr:col>11</xdr:col>
      <xdr:colOff>581025</xdr:colOff>
      <xdr:row>10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6867525" y="1524000"/>
          <a:ext cx="514350" cy="333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85725</xdr:rowOff>
    </xdr:from>
    <xdr:to>
      <xdr:col>14</xdr:col>
      <xdr:colOff>542925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495300" y="247650"/>
        <a:ext cx="85820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190500</xdr:rowOff>
    </xdr:from>
    <xdr:to>
      <xdr:col>0</xdr:col>
      <xdr:colOff>1162050</xdr:colOff>
      <xdr:row>1</xdr:row>
      <xdr:rowOff>447675</xdr:rowOff>
    </xdr:to>
    <xdr:sp>
      <xdr:nvSpPr>
        <xdr:cNvPr id="1" name="Line 1"/>
        <xdr:cNvSpPr>
          <a:spLocks/>
        </xdr:cNvSpPr>
      </xdr:nvSpPr>
      <xdr:spPr>
        <a:xfrm>
          <a:off x="1162050" y="352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1</xdr:row>
      <xdr:rowOff>95250</xdr:rowOff>
    </xdr:from>
    <xdr:to>
      <xdr:col>0</xdr:col>
      <xdr:colOff>2590800</xdr:colOff>
      <xdr:row>1</xdr:row>
      <xdr:rowOff>95250</xdr:rowOff>
    </xdr:to>
    <xdr:sp>
      <xdr:nvSpPr>
        <xdr:cNvPr id="2" name="Line 2"/>
        <xdr:cNvSpPr>
          <a:spLocks/>
        </xdr:cNvSpPr>
      </xdr:nvSpPr>
      <xdr:spPr>
        <a:xfrm>
          <a:off x="2143125" y="257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28575</xdr:rowOff>
    </xdr:from>
    <xdr:to>
      <xdr:col>4</xdr:col>
      <xdr:colOff>142875</xdr:colOff>
      <xdr:row>6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4276725" y="1190625"/>
          <a:ext cx="76200" cy="2762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28575</xdr:rowOff>
    </xdr:from>
    <xdr:to>
      <xdr:col>9</xdr:col>
      <xdr:colOff>95250</xdr:colOff>
      <xdr:row>6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038975" y="1190625"/>
          <a:ext cx="76200" cy="2762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</xdr:row>
      <xdr:rowOff>28575</xdr:rowOff>
    </xdr:from>
    <xdr:to>
      <xdr:col>6</xdr:col>
      <xdr:colOff>133350</xdr:colOff>
      <xdr:row>6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5438775" y="1190625"/>
          <a:ext cx="76200" cy="2762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66675</xdr:rowOff>
    </xdr:from>
    <xdr:to>
      <xdr:col>8</xdr:col>
      <xdr:colOff>95250</xdr:colOff>
      <xdr:row>22</xdr:row>
      <xdr:rowOff>66675</xdr:rowOff>
    </xdr:to>
    <xdr:sp>
      <xdr:nvSpPr>
        <xdr:cNvPr id="6" name="Line 9"/>
        <xdr:cNvSpPr>
          <a:spLocks/>
        </xdr:cNvSpPr>
      </xdr:nvSpPr>
      <xdr:spPr>
        <a:xfrm flipH="1">
          <a:off x="6019800" y="4152900"/>
          <a:ext cx="571500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13</xdr:row>
      <xdr:rowOff>28575</xdr:rowOff>
    </xdr:from>
    <xdr:to>
      <xdr:col>13</xdr:col>
      <xdr:colOff>381000</xdr:colOff>
      <xdr:row>29</xdr:row>
      <xdr:rowOff>295275</xdr:rowOff>
    </xdr:to>
    <xdr:sp>
      <xdr:nvSpPr>
        <xdr:cNvPr id="7" name="Line 10"/>
        <xdr:cNvSpPr>
          <a:spLocks/>
        </xdr:cNvSpPr>
      </xdr:nvSpPr>
      <xdr:spPr>
        <a:xfrm flipV="1">
          <a:off x="5800725" y="2495550"/>
          <a:ext cx="3248025" cy="2828925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</xdr:row>
      <xdr:rowOff>47625</xdr:rowOff>
    </xdr:from>
    <xdr:to>
      <xdr:col>13</xdr:col>
      <xdr:colOff>66675</xdr:colOff>
      <xdr:row>28</xdr:row>
      <xdr:rowOff>38100</xdr:rowOff>
    </xdr:to>
    <xdr:sp>
      <xdr:nvSpPr>
        <xdr:cNvPr id="8" name="Line 11"/>
        <xdr:cNvSpPr>
          <a:spLocks/>
        </xdr:cNvSpPr>
      </xdr:nvSpPr>
      <xdr:spPr>
        <a:xfrm flipV="1">
          <a:off x="5781675" y="885825"/>
          <a:ext cx="2952750" cy="400050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28575</xdr:rowOff>
    </xdr:from>
    <xdr:to>
      <xdr:col>4</xdr:col>
      <xdr:colOff>142875</xdr:colOff>
      <xdr:row>6</xdr:row>
      <xdr:rowOff>142875</xdr:rowOff>
    </xdr:to>
    <xdr:sp>
      <xdr:nvSpPr>
        <xdr:cNvPr id="9" name="AutoShape 12"/>
        <xdr:cNvSpPr>
          <a:spLocks/>
        </xdr:cNvSpPr>
      </xdr:nvSpPr>
      <xdr:spPr>
        <a:xfrm>
          <a:off x="4276725" y="1190625"/>
          <a:ext cx="76200" cy="2762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55</xdr:row>
      <xdr:rowOff>180975</xdr:rowOff>
    </xdr:from>
    <xdr:to>
      <xdr:col>10</xdr:col>
      <xdr:colOff>552450</xdr:colOff>
      <xdr:row>55</xdr:row>
      <xdr:rowOff>180975</xdr:rowOff>
    </xdr:to>
    <xdr:sp>
      <xdr:nvSpPr>
        <xdr:cNvPr id="1" name="Line 2"/>
        <xdr:cNvSpPr>
          <a:spLocks/>
        </xdr:cNvSpPr>
      </xdr:nvSpPr>
      <xdr:spPr>
        <a:xfrm flipH="1">
          <a:off x="5581650" y="5419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1352550</xdr:colOff>
      <xdr:row>55</xdr:row>
      <xdr:rowOff>219075</xdr:rowOff>
    </xdr:from>
    <xdr:to>
      <xdr:col>11</xdr:col>
      <xdr:colOff>352425</xdr:colOff>
      <xdr:row>55</xdr:row>
      <xdr:rowOff>371475</xdr:rowOff>
    </xdr:to>
    <xdr:sp>
      <xdr:nvSpPr>
        <xdr:cNvPr id="2" name="Line 3"/>
        <xdr:cNvSpPr>
          <a:spLocks/>
        </xdr:cNvSpPr>
      </xdr:nvSpPr>
      <xdr:spPr>
        <a:xfrm flipV="1">
          <a:off x="7915275" y="545782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39</xdr:row>
      <xdr:rowOff>400050</xdr:rowOff>
    </xdr:from>
    <xdr:to>
      <xdr:col>6</xdr:col>
      <xdr:colOff>209550</xdr:colOff>
      <xdr:row>42</xdr:row>
      <xdr:rowOff>95250</xdr:rowOff>
    </xdr:to>
    <xdr:sp>
      <xdr:nvSpPr>
        <xdr:cNvPr id="3" name="Line 4"/>
        <xdr:cNvSpPr>
          <a:spLocks/>
        </xdr:cNvSpPr>
      </xdr:nvSpPr>
      <xdr:spPr>
        <a:xfrm>
          <a:off x="3048000" y="752475"/>
          <a:ext cx="1362075" cy="9429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55</xdr:row>
      <xdr:rowOff>104775</xdr:rowOff>
    </xdr:from>
    <xdr:to>
      <xdr:col>4</xdr:col>
      <xdr:colOff>533400</xdr:colOff>
      <xdr:row>55</xdr:row>
      <xdr:rowOff>104775</xdr:rowOff>
    </xdr:to>
    <xdr:sp>
      <xdr:nvSpPr>
        <xdr:cNvPr id="4" name="Line 5"/>
        <xdr:cNvSpPr>
          <a:spLocks/>
        </xdr:cNvSpPr>
      </xdr:nvSpPr>
      <xdr:spPr>
        <a:xfrm>
          <a:off x="2943225" y="5343525"/>
          <a:ext cx="45720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47625</xdr:rowOff>
    </xdr:from>
    <xdr:to>
      <xdr:col>5</xdr:col>
      <xdr:colOff>400050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552575" y="1495425"/>
          <a:ext cx="3676650" cy="209550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38100</xdr:rowOff>
    </xdr:from>
    <xdr:to>
      <xdr:col>6</xdr:col>
      <xdr:colOff>1743075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5286375" y="1485900"/>
          <a:ext cx="1685925" cy="21907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57150</xdr:rowOff>
    </xdr:from>
    <xdr:to>
      <xdr:col>1</xdr:col>
      <xdr:colOff>1304925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209550" y="1504950"/>
          <a:ext cx="1266825" cy="20002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</xdr:row>
      <xdr:rowOff>47625</xdr:rowOff>
    </xdr:from>
    <xdr:to>
      <xdr:col>5</xdr:col>
      <xdr:colOff>400050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1552575" y="1495425"/>
          <a:ext cx="3676650" cy="209550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38100</xdr:rowOff>
    </xdr:from>
    <xdr:to>
      <xdr:col>6</xdr:col>
      <xdr:colOff>1743075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 rot="5400000">
          <a:off x="5286375" y="1485900"/>
          <a:ext cx="1685925" cy="21907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57150</xdr:rowOff>
    </xdr:from>
    <xdr:to>
      <xdr:col>1</xdr:col>
      <xdr:colOff>1304925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09550" y="1504950"/>
          <a:ext cx="1266825" cy="20002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9525</xdr:rowOff>
    </xdr:from>
    <xdr:to>
      <xdr:col>7</xdr:col>
      <xdr:colOff>1933575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7143750" y="1457325"/>
          <a:ext cx="1762125" cy="247650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</xdr:row>
      <xdr:rowOff>0</xdr:rowOff>
    </xdr:from>
    <xdr:to>
      <xdr:col>2</xdr:col>
      <xdr:colOff>371475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390650" y="323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1905000</xdr:colOff>
      <xdr:row>1</xdr:row>
      <xdr:rowOff>76200</xdr:rowOff>
    </xdr:from>
    <xdr:to>
      <xdr:col>2</xdr:col>
      <xdr:colOff>2124075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2924175" y="23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0</xdr:rowOff>
    </xdr:from>
    <xdr:to>
      <xdr:col>5</xdr:col>
      <xdr:colOff>1162050</xdr:colOff>
      <xdr:row>13</xdr:row>
      <xdr:rowOff>0</xdr:rowOff>
    </xdr:to>
    <xdr:sp>
      <xdr:nvSpPr>
        <xdr:cNvPr id="3" name="AutoShape 4"/>
        <xdr:cNvSpPr>
          <a:spLocks/>
        </xdr:cNvSpPr>
      </xdr:nvSpPr>
      <xdr:spPr>
        <a:xfrm rot="5400000">
          <a:off x="1057275" y="2190750"/>
          <a:ext cx="5934075" cy="0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19050</xdr:rowOff>
    </xdr:from>
    <xdr:to>
      <xdr:col>5</xdr:col>
      <xdr:colOff>1162050</xdr:colOff>
      <xdr:row>20</xdr:row>
      <xdr:rowOff>76200</xdr:rowOff>
    </xdr:to>
    <xdr:sp>
      <xdr:nvSpPr>
        <xdr:cNvPr id="4" name="AutoShape 5"/>
        <xdr:cNvSpPr>
          <a:spLocks/>
        </xdr:cNvSpPr>
      </xdr:nvSpPr>
      <xdr:spPr>
        <a:xfrm rot="5400000">
          <a:off x="1057275" y="2266950"/>
          <a:ext cx="5934075" cy="0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1905000</xdr:colOff>
      <xdr:row>14</xdr:row>
      <xdr:rowOff>76200</xdr:rowOff>
    </xdr:from>
    <xdr:to>
      <xdr:col>2</xdr:col>
      <xdr:colOff>2124075</xdr:colOff>
      <xdr:row>14</xdr:row>
      <xdr:rowOff>76200</xdr:rowOff>
    </xdr:to>
    <xdr:sp>
      <xdr:nvSpPr>
        <xdr:cNvPr id="5" name="Line 6"/>
        <xdr:cNvSpPr>
          <a:spLocks/>
        </xdr:cNvSpPr>
      </xdr:nvSpPr>
      <xdr:spPr>
        <a:xfrm>
          <a:off x="2924175" y="2266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14</xdr:row>
      <xdr:rowOff>76200</xdr:rowOff>
    </xdr:from>
    <xdr:to>
      <xdr:col>2</xdr:col>
      <xdr:colOff>647700</xdr:colOff>
      <xdr:row>15</xdr:row>
      <xdr:rowOff>9525</xdr:rowOff>
    </xdr:to>
    <xdr:sp>
      <xdr:nvSpPr>
        <xdr:cNvPr id="6" name="Line 7"/>
        <xdr:cNvSpPr>
          <a:spLocks/>
        </xdr:cNvSpPr>
      </xdr:nvSpPr>
      <xdr:spPr>
        <a:xfrm>
          <a:off x="1666875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</xdr:row>
      <xdr:rowOff>85725</xdr:rowOff>
    </xdr:from>
    <xdr:to>
      <xdr:col>6</xdr:col>
      <xdr:colOff>238125</xdr:colOff>
      <xdr:row>11</xdr:row>
      <xdr:rowOff>0</xdr:rowOff>
    </xdr:to>
    <xdr:sp>
      <xdr:nvSpPr>
        <xdr:cNvPr id="7" name="AutoShape 8"/>
        <xdr:cNvSpPr>
          <a:spLocks/>
        </xdr:cNvSpPr>
      </xdr:nvSpPr>
      <xdr:spPr>
        <a:xfrm>
          <a:off x="7010400" y="247650"/>
          <a:ext cx="0" cy="1533525"/>
        </a:xfrm>
        <a:prstGeom prst="leftBrace">
          <a:avLst>
            <a:gd name="adj" fmla="val -310"/>
          </a:avLst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1</xdr:col>
      <xdr:colOff>371475</xdr:colOff>
      <xdr:row>3</xdr:row>
      <xdr:rowOff>9525</xdr:rowOff>
    </xdr:to>
    <xdr:sp>
      <xdr:nvSpPr>
        <xdr:cNvPr id="8" name="Line 9"/>
        <xdr:cNvSpPr>
          <a:spLocks/>
        </xdr:cNvSpPr>
      </xdr:nvSpPr>
      <xdr:spPr>
        <a:xfrm>
          <a:off x="723900" y="323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76200</xdr:rowOff>
    </xdr:from>
    <xdr:to>
      <xdr:col>1</xdr:col>
      <xdr:colOff>666750</xdr:colOff>
      <xdr:row>1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019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4</xdr:col>
      <xdr:colOff>1162050</xdr:colOff>
      <xdr:row>13</xdr:row>
      <xdr:rowOff>0</xdr:rowOff>
    </xdr:to>
    <xdr:sp>
      <xdr:nvSpPr>
        <xdr:cNvPr id="10" name="AutoShape 11"/>
        <xdr:cNvSpPr>
          <a:spLocks/>
        </xdr:cNvSpPr>
      </xdr:nvSpPr>
      <xdr:spPr>
        <a:xfrm rot="5400000">
          <a:off x="390525" y="2190750"/>
          <a:ext cx="5305425" cy="0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</xdr:row>
      <xdr:rowOff>85725</xdr:rowOff>
    </xdr:from>
    <xdr:to>
      <xdr:col>12</xdr:col>
      <xdr:colOff>133350</xdr:colOff>
      <xdr:row>11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7010400" y="247650"/>
          <a:ext cx="0" cy="1533525"/>
        </a:xfrm>
        <a:prstGeom prst="leftBrace">
          <a:avLst>
            <a:gd name="adj" fmla="val -310"/>
          </a:avLst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36</xdr:row>
      <xdr:rowOff>266700</xdr:rowOff>
    </xdr:from>
    <xdr:to>
      <xdr:col>1</xdr:col>
      <xdr:colOff>666750</xdr:colOff>
      <xdr:row>36</xdr:row>
      <xdr:rowOff>266700</xdr:rowOff>
    </xdr:to>
    <xdr:sp>
      <xdr:nvSpPr>
        <xdr:cNvPr id="12" name="Line 15"/>
        <xdr:cNvSpPr>
          <a:spLocks/>
        </xdr:cNvSpPr>
      </xdr:nvSpPr>
      <xdr:spPr>
        <a:xfrm>
          <a:off x="101917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1304925</xdr:colOff>
      <xdr:row>41</xdr:row>
      <xdr:rowOff>85725</xdr:rowOff>
    </xdr:from>
    <xdr:to>
      <xdr:col>13</xdr:col>
      <xdr:colOff>1304925</xdr:colOff>
      <xdr:row>41</xdr:row>
      <xdr:rowOff>85725</xdr:rowOff>
    </xdr:to>
    <xdr:sp>
      <xdr:nvSpPr>
        <xdr:cNvPr id="13" name="Line 20"/>
        <xdr:cNvSpPr>
          <a:spLocks/>
        </xdr:cNvSpPr>
      </xdr:nvSpPr>
      <xdr:spPr>
        <a:xfrm>
          <a:off x="83153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0</xdr:rowOff>
    </xdr:from>
    <xdr:to>
      <xdr:col>2</xdr:col>
      <xdr:colOff>371475</xdr:colOff>
      <xdr:row>3</xdr:row>
      <xdr:rowOff>9525</xdr:rowOff>
    </xdr:to>
    <xdr:sp>
      <xdr:nvSpPr>
        <xdr:cNvPr id="14" name="Line 21"/>
        <xdr:cNvSpPr>
          <a:spLocks/>
        </xdr:cNvSpPr>
      </xdr:nvSpPr>
      <xdr:spPr>
        <a:xfrm>
          <a:off x="1390650" y="323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1905000</xdr:colOff>
      <xdr:row>1</xdr:row>
      <xdr:rowOff>76200</xdr:rowOff>
    </xdr:from>
    <xdr:to>
      <xdr:col>2</xdr:col>
      <xdr:colOff>2124075</xdr:colOff>
      <xdr:row>1</xdr:row>
      <xdr:rowOff>76200</xdr:rowOff>
    </xdr:to>
    <xdr:sp>
      <xdr:nvSpPr>
        <xdr:cNvPr id="15" name="Line 22"/>
        <xdr:cNvSpPr>
          <a:spLocks/>
        </xdr:cNvSpPr>
      </xdr:nvSpPr>
      <xdr:spPr>
        <a:xfrm>
          <a:off x="2924175" y="23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0</xdr:rowOff>
    </xdr:from>
    <xdr:to>
      <xdr:col>5</xdr:col>
      <xdr:colOff>1162050</xdr:colOff>
      <xdr:row>13</xdr:row>
      <xdr:rowOff>0</xdr:rowOff>
    </xdr:to>
    <xdr:sp>
      <xdr:nvSpPr>
        <xdr:cNvPr id="16" name="AutoShape 23"/>
        <xdr:cNvSpPr>
          <a:spLocks/>
        </xdr:cNvSpPr>
      </xdr:nvSpPr>
      <xdr:spPr>
        <a:xfrm rot="5400000">
          <a:off x="1057275" y="2190750"/>
          <a:ext cx="5934075" cy="0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114300</xdr:rowOff>
    </xdr:from>
    <xdr:to>
      <xdr:col>5</xdr:col>
      <xdr:colOff>1162050</xdr:colOff>
      <xdr:row>41</xdr:row>
      <xdr:rowOff>733425</xdr:rowOff>
    </xdr:to>
    <xdr:sp>
      <xdr:nvSpPr>
        <xdr:cNvPr id="17" name="AutoShape 24"/>
        <xdr:cNvSpPr>
          <a:spLocks/>
        </xdr:cNvSpPr>
      </xdr:nvSpPr>
      <xdr:spPr>
        <a:xfrm rot="5400000">
          <a:off x="1057275" y="3867150"/>
          <a:ext cx="5934075" cy="61912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36</xdr:row>
      <xdr:rowOff>200025</xdr:rowOff>
    </xdr:from>
    <xdr:to>
      <xdr:col>2</xdr:col>
      <xdr:colOff>647700</xdr:colOff>
      <xdr:row>36</xdr:row>
      <xdr:rowOff>533400</xdr:rowOff>
    </xdr:to>
    <xdr:sp>
      <xdr:nvSpPr>
        <xdr:cNvPr id="18" name="Line 25"/>
        <xdr:cNvSpPr>
          <a:spLocks/>
        </xdr:cNvSpPr>
      </xdr:nvSpPr>
      <xdr:spPr>
        <a:xfrm>
          <a:off x="1666875" y="2466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85725</xdr:rowOff>
    </xdr:from>
    <xdr:to>
      <xdr:col>13</xdr:col>
      <xdr:colOff>238125</xdr:colOff>
      <xdr:row>11</xdr:row>
      <xdr:rowOff>0</xdr:rowOff>
    </xdr:to>
    <xdr:sp>
      <xdr:nvSpPr>
        <xdr:cNvPr id="19" name="AutoShape 26"/>
        <xdr:cNvSpPr>
          <a:spLocks/>
        </xdr:cNvSpPr>
      </xdr:nvSpPr>
      <xdr:spPr>
        <a:xfrm>
          <a:off x="7096125" y="247650"/>
          <a:ext cx="152400" cy="1533525"/>
        </a:xfrm>
        <a:prstGeom prst="leftBrace">
          <a:avLst>
            <a:gd name="adj" fmla="val -310"/>
          </a:avLst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1743075</xdr:colOff>
      <xdr:row>36</xdr:row>
      <xdr:rowOff>266700</xdr:rowOff>
    </xdr:from>
    <xdr:to>
      <xdr:col>2</xdr:col>
      <xdr:colOff>2105025</xdr:colOff>
      <xdr:row>36</xdr:row>
      <xdr:rowOff>266700</xdr:rowOff>
    </xdr:to>
    <xdr:sp>
      <xdr:nvSpPr>
        <xdr:cNvPr id="20" name="Line 27"/>
        <xdr:cNvSpPr>
          <a:spLocks/>
        </xdr:cNvSpPr>
      </xdr:nvSpPr>
      <xdr:spPr>
        <a:xfrm>
          <a:off x="2762250" y="2533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1123950</xdr:colOff>
      <xdr:row>37</xdr:row>
      <xdr:rowOff>104775</xdr:rowOff>
    </xdr:from>
    <xdr:to>
      <xdr:col>14</xdr:col>
      <xdr:colOff>285750</xdr:colOff>
      <xdr:row>37</xdr:row>
      <xdr:rowOff>104775</xdr:rowOff>
    </xdr:to>
    <xdr:sp>
      <xdr:nvSpPr>
        <xdr:cNvPr id="21" name="Line 28"/>
        <xdr:cNvSpPr>
          <a:spLocks/>
        </xdr:cNvSpPr>
      </xdr:nvSpPr>
      <xdr:spPr>
        <a:xfrm flipH="1">
          <a:off x="8134350" y="2943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1133475</xdr:colOff>
      <xdr:row>38</xdr:row>
      <xdr:rowOff>0</xdr:rowOff>
    </xdr:from>
    <xdr:to>
      <xdr:col>14</xdr:col>
      <xdr:colOff>409575</xdr:colOff>
      <xdr:row>38</xdr:row>
      <xdr:rowOff>95250</xdr:rowOff>
    </xdr:to>
    <xdr:sp>
      <xdr:nvSpPr>
        <xdr:cNvPr id="22" name="Line 29"/>
        <xdr:cNvSpPr>
          <a:spLocks/>
        </xdr:cNvSpPr>
      </xdr:nvSpPr>
      <xdr:spPr>
        <a:xfrm flipH="1">
          <a:off x="8143875" y="3067050"/>
          <a:ext cx="581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1143000</xdr:colOff>
      <xdr:row>38</xdr:row>
      <xdr:rowOff>28575</xdr:rowOff>
    </xdr:from>
    <xdr:to>
      <xdr:col>14</xdr:col>
      <xdr:colOff>600075</xdr:colOff>
      <xdr:row>39</xdr:row>
      <xdr:rowOff>76200</xdr:rowOff>
    </xdr:to>
    <xdr:sp>
      <xdr:nvSpPr>
        <xdr:cNvPr id="23" name="Line 30"/>
        <xdr:cNvSpPr>
          <a:spLocks/>
        </xdr:cNvSpPr>
      </xdr:nvSpPr>
      <xdr:spPr>
        <a:xfrm flipH="1">
          <a:off x="8153400" y="3095625"/>
          <a:ext cx="762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1152525</xdr:colOff>
      <xdr:row>38</xdr:row>
      <xdr:rowOff>38100</xdr:rowOff>
    </xdr:from>
    <xdr:to>
      <xdr:col>14</xdr:col>
      <xdr:colOff>790575</xdr:colOff>
      <xdr:row>40</xdr:row>
      <xdr:rowOff>85725</xdr:rowOff>
    </xdr:to>
    <xdr:sp>
      <xdr:nvSpPr>
        <xdr:cNvPr id="24" name="Line 31"/>
        <xdr:cNvSpPr>
          <a:spLocks/>
        </xdr:cNvSpPr>
      </xdr:nvSpPr>
      <xdr:spPr>
        <a:xfrm flipH="1">
          <a:off x="8162925" y="3105150"/>
          <a:ext cx="942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1504950</xdr:colOff>
      <xdr:row>41</xdr:row>
      <xdr:rowOff>85725</xdr:rowOff>
    </xdr:from>
    <xdr:to>
      <xdr:col>14</xdr:col>
      <xdr:colOff>1714500</xdr:colOff>
      <xdr:row>41</xdr:row>
      <xdr:rowOff>85725</xdr:rowOff>
    </xdr:to>
    <xdr:sp>
      <xdr:nvSpPr>
        <xdr:cNvPr id="25" name="Line 32"/>
        <xdr:cNvSpPr>
          <a:spLocks/>
        </xdr:cNvSpPr>
      </xdr:nvSpPr>
      <xdr:spPr>
        <a:xfrm>
          <a:off x="9820275" y="3838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95250</xdr:rowOff>
    </xdr:from>
    <xdr:to>
      <xdr:col>9</xdr:col>
      <xdr:colOff>476250</xdr:colOff>
      <xdr:row>20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972425" y="304800"/>
          <a:ext cx="142875" cy="32099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76200</xdr:rowOff>
    </xdr:from>
    <xdr:to>
      <xdr:col>8</xdr:col>
      <xdr:colOff>838200</xdr:colOff>
      <xdr:row>21</xdr:row>
      <xdr:rowOff>209550</xdr:rowOff>
    </xdr:to>
    <xdr:sp>
      <xdr:nvSpPr>
        <xdr:cNvPr id="2" name="AutoShape 2"/>
        <xdr:cNvSpPr>
          <a:spLocks/>
        </xdr:cNvSpPr>
      </xdr:nvSpPr>
      <xdr:spPr>
        <a:xfrm rot="16211770">
          <a:off x="1428750" y="3629025"/>
          <a:ext cx="6153150" cy="133350"/>
        </a:xfrm>
        <a:prstGeom prst="leftBrace">
          <a:avLst>
            <a:gd name="adj" fmla="val 236"/>
          </a:avLst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21</xdr:row>
      <xdr:rowOff>28575</xdr:rowOff>
    </xdr:from>
    <xdr:to>
      <xdr:col>2</xdr:col>
      <xdr:colOff>19050</xdr:colOff>
      <xdr:row>21</xdr:row>
      <xdr:rowOff>171450</xdr:rowOff>
    </xdr:to>
    <xdr:sp>
      <xdr:nvSpPr>
        <xdr:cNvPr id="3" name="AutoShape 3"/>
        <xdr:cNvSpPr>
          <a:spLocks/>
        </xdr:cNvSpPr>
      </xdr:nvSpPr>
      <xdr:spPr>
        <a:xfrm rot="16211770">
          <a:off x="666750" y="3581400"/>
          <a:ext cx="723900" cy="142875"/>
        </a:xfrm>
        <a:prstGeom prst="leftBrac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27</xdr:row>
      <xdr:rowOff>152400</xdr:rowOff>
    </xdr:from>
    <xdr:to>
      <xdr:col>18</xdr:col>
      <xdr:colOff>752475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904875" y="6896100"/>
          <a:ext cx="647700" cy="142875"/>
        </a:xfrm>
        <a:prstGeom prst="leftBrac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257175</xdr:colOff>
      <xdr:row>27</xdr:row>
      <xdr:rowOff>152400</xdr:rowOff>
    </xdr:from>
    <xdr:to>
      <xdr:col>25</xdr:col>
      <xdr:colOff>733425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2190750" y="6896100"/>
          <a:ext cx="4457700" cy="142875"/>
        </a:xfrm>
        <a:prstGeom prst="leftBrac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49</xdr:row>
      <xdr:rowOff>419100</xdr:rowOff>
    </xdr:from>
    <xdr:to>
      <xdr:col>18</xdr:col>
      <xdr:colOff>247650</xdr:colOff>
      <xdr:row>49</xdr:row>
      <xdr:rowOff>419100</xdr:rowOff>
    </xdr:to>
    <xdr:sp>
      <xdr:nvSpPr>
        <xdr:cNvPr id="3" name="Line 3"/>
        <xdr:cNvSpPr>
          <a:spLocks/>
        </xdr:cNvSpPr>
      </xdr:nvSpPr>
      <xdr:spPr>
        <a:xfrm flipH="1">
          <a:off x="857250" y="11001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152400</xdr:rowOff>
    </xdr:from>
    <xdr:to>
      <xdr:col>26</xdr:col>
      <xdr:colOff>0</xdr:colOff>
      <xdr:row>7</xdr:row>
      <xdr:rowOff>28575</xdr:rowOff>
    </xdr:to>
    <xdr:sp>
      <xdr:nvSpPr>
        <xdr:cNvPr id="4" name="Line 4"/>
        <xdr:cNvSpPr>
          <a:spLocks/>
        </xdr:cNvSpPr>
      </xdr:nvSpPr>
      <xdr:spPr>
        <a:xfrm>
          <a:off x="7219950" y="152400"/>
          <a:ext cx="0" cy="2428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400050</xdr:rowOff>
    </xdr:from>
    <xdr:to>
      <xdr:col>26</xdr:col>
      <xdr:colOff>0</xdr:colOff>
      <xdr:row>2</xdr:row>
      <xdr:rowOff>400050</xdr:rowOff>
    </xdr:to>
    <xdr:sp>
      <xdr:nvSpPr>
        <xdr:cNvPr id="5" name="Line 5"/>
        <xdr:cNvSpPr>
          <a:spLocks/>
        </xdr:cNvSpPr>
      </xdr:nvSpPr>
      <xdr:spPr>
        <a:xfrm flipV="1">
          <a:off x="721995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209550</xdr:colOff>
      <xdr:row>1</xdr:row>
      <xdr:rowOff>590550</xdr:rowOff>
    </xdr:from>
    <xdr:to>
      <xdr:col>33</xdr:col>
      <xdr:colOff>209550</xdr:colOff>
      <xdr:row>1</xdr:row>
      <xdr:rowOff>790575</xdr:rowOff>
    </xdr:to>
    <xdr:sp>
      <xdr:nvSpPr>
        <xdr:cNvPr id="6" name="Line 6"/>
        <xdr:cNvSpPr>
          <a:spLocks/>
        </xdr:cNvSpPr>
      </xdr:nvSpPr>
      <xdr:spPr>
        <a:xfrm>
          <a:off x="11029950" y="762000"/>
          <a:ext cx="0" cy="20002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247650</xdr:colOff>
      <xdr:row>1</xdr:row>
      <xdr:rowOff>590550</xdr:rowOff>
    </xdr:from>
    <xdr:to>
      <xdr:col>34</xdr:col>
      <xdr:colOff>247650</xdr:colOff>
      <xdr:row>1</xdr:row>
      <xdr:rowOff>790575</xdr:rowOff>
    </xdr:to>
    <xdr:sp>
      <xdr:nvSpPr>
        <xdr:cNvPr id="7" name="Line 7"/>
        <xdr:cNvSpPr>
          <a:spLocks/>
        </xdr:cNvSpPr>
      </xdr:nvSpPr>
      <xdr:spPr>
        <a:xfrm>
          <a:off x="11582400" y="762000"/>
          <a:ext cx="0" cy="20002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1</xdr:row>
      <xdr:rowOff>590550</xdr:rowOff>
    </xdr:from>
    <xdr:to>
      <xdr:col>37</xdr:col>
      <xdr:colOff>238125</xdr:colOff>
      <xdr:row>1</xdr:row>
      <xdr:rowOff>790575</xdr:rowOff>
    </xdr:to>
    <xdr:sp>
      <xdr:nvSpPr>
        <xdr:cNvPr id="8" name="Line 8"/>
        <xdr:cNvSpPr>
          <a:spLocks/>
        </xdr:cNvSpPr>
      </xdr:nvSpPr>
      <xdr:spPr>
        <a:xfrm>
          <a:off x="13115925" y="762000"/>
          <a:ext cx="0" cy="20002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266700</xdr:colOff>
      <xdr:row>1</xdr:row>
      <xdr:rowOff>590550</xdr:rowOff>
    </xdr:from>
    <xdr:to>
      <xdr:col>41</xdr:col>
      <xdr:colOff>266700</xdr:colOff>
      <xdr:row>1</xdr:row>
      <xdr:rowOff>790575</xdr:rowOff>
    </xdr:to>
    <xdr:sp>
      <xdr:nvSpPr>
        <xdr:cNvPr id="9" name="Line 9"/>
        <xdr:cNvSpPr>
          <a:spLocks/>
        </xdr:cNvSpPr>
      </xdr:nvSpPr>
      <xdr:spPr>
        <a:xfrm>
          <a:off x="15201900" y="762000"/>
          <a:ext cx="0" cy="20002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1</xdr:row>
      <xdr:rowOff>590550</xdr:rowOff>
    </xdr:from>
    <xdr:to>
      <xdr:col>31</xdr:col>
      <xdr:colOff>238125</xdr:colOff>
      <xdr:row>1</xdr:row>
      <xdr:rowOff>790575</xdr:rowOff>
    </xdr:to>
    <xdr:sp>
      <xdr:nvSpPr>
        <xdr:cNvPr id="10" name="Line 10"/>
        <xdr:cNvSpPr>
          <a:spLocks/>
        </xdr:cNvSpPr>
      </xdr:nvSpPr>
      <xdr:spPr>
        <a:xfrm>
          <a:off x="10029825" y="762000"/>
          <a:ext cx="0" cy="20002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266700</xdr:colOff>
      <xdr:row>1</xdr:row>
      <xdr:rowOff>600075</xdr:rowOff>
    </xdr:from>
    <xdr:to>
      <xdr:col>29</xdr:col>
      <xdr:colOff>266700</xdr:colOff>
      <xdr:row>1</xdr:row>
      <xdr:rowOff>800100</xdr:rowOff>
    </xdr:to>
    <xdr:sp>
      <xdr:nvSpPr>
        <xdr:cNvPr id="11" name="Line 11"/>
        <xdr:cNvSpPr>
          <a:spLocks/>
        </xdr:cNvSpPr>
      </xdr:nvSpPr>
      <xdr:spPr>
        <a:xfrm>
          <a:off x="9029700" y="771525"/>
          <a:ext cx="0" cy="20002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476250</xdr:colOff>
      <xdr:row>2</xdr:row>
      <xdr:rowOff>590550</xdr:rowOff>
    </xdr:from>
    <xdr:to>
      <xdr:col>18</xdr:col>
      <xdr:colOff>361950</xdr:colOff>
      <xdr:row>2</xdr:row>
      <xdr:rowOff>590550</xdr:rowOff>
    </xdr:to>
    <xdr:sp>
      <xdr:nvSpPr>
        <xdr:cNvPr id="12" name="Line 12"/>
        <xdr:cNvSpPr>
          <a:spLocks/>
        </xdr:cNvSpPr>
      </xdr:nvSpPr>
      <xdr:spPr>
        <a:xfrm flipH="1">
          <a:off x="704850" y="1657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476250</xdr:colOff>
      <xdr:row>2</xdr:row>
      <xdr:rowOff>590550</xdr:rowOff>
    </xdr:from>
    <xdr:to>
      <xdr:col>18</xdr:col>
      <xdr:colOff>361950</xdr:colOff>
      <xdr:row>2</xdr:row>
      <xdr:rowOff>590550</xdr:rowOff>
    </xdr:to>
    <xdr:sp>
      <xdr:nvSpPr>
        <xdr:cNvPr id="13" name="Line 13"/>
        <xdr:cNvSpPr>
          <a:spLocks/>
        </xdr:cNvSpPr>
      </xdr:nvSpPr>
      <xdr:spPr>
        <a:xfrm flipH="1">
          <a:off x="704850" y="1657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125200" y="0"/>
          <a:ext cx="161925" cy="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457200</xdr:rowOff>
    </xdr:from>
    <xdr:to>
      <xdr:col>3</xdr:col>
      <xdr:colOff>285750</xdr:colOff>
      <xdr:row>1</xdr:row>
      <xdr:rowOff>457200</xdr:rowOff>
    </xdr:to>
    <xdr:sp>
      <xdr:nvSpPr>
        <xdr:cNvPr id="2" name="Line 2"/>
        <xdr:cNvSpPr>
          <a:spLocks/>
        </xdr:cNvSpPr>
      </xdr:nvSpPr>
      <xdr:spPr>
        <a:xfrm>
          <a:off x="3076575" y="514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1485900</xdr:colOff>
      <xdr:row>1</xdr:row>
      <xdr:rowOff>142875</xdr:rowOff>
    </xdr:from>
    <xdr:to>
      <xdr:col>0</xdr:col>
      <xdr:colOff>1485900</xdr:colOff>
      <xdr:row>1</xdr:row>
      <xdr:rowOff>457200</xdr:rowOff>
    </xdr:to>
    <xdr:sp>
      <xdr:nvSpPr>
        <xdr:cNvPr id="3" name="Line 3"/>
        <xdr:cNvSpPr>
          <a:spLocks/>
        </xdr:cNvSpPr>
      </xdr:nvSpPr>
      <xdr:spPr>
        <a:xfrm>
          <a:off x="1485900" y="2000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20</xdr:row>
      <xdr:rowOff>104775</xdr:rowOff>
    </xdr:from>
    <xdr:to>
      <xdr:col>19</xdr:col>
      <xdr:colOff>381000</xdr:colOff>
      <xdr:row>21</xdr:row>
      <xdr:rowOff>114300</xdr:rowOff>
    </xdr:to>
    <xdr:sp>
      <xdr:nvSpPr>
        <xdr:cNvPr id="4" name="AutoShape 6"/>
        <xdr:cNvSpPr>
          <a:spLocks/>
        </xdr:cNvSpPr>
      </xdr:nvSpPr>
      <xdr:spPr>
        <a:xfrm rot="5400000">
          <a:off x="3695700" y="4019550"/>
          <a:ext cx="7715250" cy="171450"/>
        </a:xfrm>
        <a:prstGeom prst="rightBrace">
          <a:avLst>
            <a:gd name="adj1" fmla="val -41361"/>
            <a:gd name="adj2" fmla="val 967"/>
          </a:avLst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20</xdr:row>
      <xdr:rowOff>104775</xdr:rowOff>
    </xdr:from>
    <xdr:to>
      <xdr:col>7</xdr:col>
      <xdr:colOff>123825</xdr:colOff>
      <xdr:row>22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4914900" y="4019550"/>
          <a:ext cx="228600" cy="26670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744450" y="0"/>
          <a:ext cx="161925" cy="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457200</xdr:rowOff>
    </xdr:from>
    <xdr:to>
      <xdr:col>3</xdr:col>
      <xdr:colOff>285750</xdr:colOff>
      <xdr:row>3</xdr:row>
      <xdr:rowOff>457200</xdr:rowOff>
    </xdr:to>
    <xdr:sp>
      <xdr:nvSpPr>
        <xdr:cNvPr id="2" name="Line 2"/>
        <xdr:cNvSpPr>
          <a:spLocks/>
        </xdr:cNvSpPr>
      </xdr:nvSpPr>
      <xdr:spPr>
        <a:xfrm>
          <a:off x="3190875" y="6191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1485900</xdr:colOff>
      <xdr:row>3</xdr:row>
      <xdr:rowOff>142875</xdr:rowOff>
    </xdr:from>
    <xdr:to>
      <xdr:col>0</xdr:col>
      <xdr:colOff>1485900</xdr:colOff>
      <xdr:row>3</xdr:row>
      <xdr:rowOff>457200</xdr:rowOff>
    </xdr:to>
    <xdr:sp>
      <xdr:nvSpPr>
        <xdr:cNvPr id="3" name="Line 3"/>
        <xdr:cNvSpPr>
          <a:spLocks/>
        </xdr:cNvSpPr>
      </xdr:nvSpPr>
      <xdr:spPr>
        <a:xfrm>
          <a:off x="1485900" y="304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9525</xdr:rowOff>
    </xdr:from>
    <xdr:to>
      <xdr:col>19</xdr:col>
      <xdr:colOff>381000</xdr:colOff>
      <xdr:row>25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3810000" y="4876800"/>
          <a:ext cx="9220200" cy="39052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23</xdr:row>
      <xdr:rowOff>0</xdr:rowOff>
    </xdr:from>
    <xdr:to>
      <xdr:col>22</xdr:col>
      <xdr:colOff>876300</xdr:colOff>
      <xdr:row>24</xdr:row>
      <xdr:rowOff>190500</xdr:rowOff>
    </xdr:to>
    <xdr:sp>
      <xdr:nvSpPr>
        <xdr:cNvPr id="5" name="AutoShape 7"/>
        <xdr:cNvSpPr>
          <a:spLocks/>
        </xdr:cNvSpPr>
      </xdr:nvSpPr>
      <xdr:spPr>
        <a:xfrm rot="5400000">
          <a:off x="13249275" y="4867275"/>
          <a:ext cx="0" cy="39052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22</xdr:row>
      <xdr:rowOff>142875</xdr:rowOff>
    </xdr:from>
    <xdr:to>
      <xdr:col>25</xdr:col>
      <xdr:colOff>876300</xdr:colOff>
      <xdr:row>24</xdr:row>
      <xdr:rowOff>171450</xdr:rowOff>
    </xdr:to>
    <xdr:sp>
      <xdr:nvSpPr>
        <xdr:cNvPr id="6" name="AutoShape 8"/>
        <xdr:cNvSpPr>
          <a:spLocks/>
        </xdr:cNvSpPr>
      </xdr:nvSpPr>
      <xdr:spPr>
        <a:xfrm rot="5400000">
          <a:off x="13535025" y="4848225"/>
          <a:ext cx="1905000" cy="39052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22</xdr:row>
      <xdr:rowOff>104775</xdr:rowOff>
    </xdr:from>
    <xdr:to>
      <xdr:col>28</xdr:col>
      <xdr:colOff>800100</xdr:colOff>
      <xdr:row>24</xdr:row>
      <xdr:rowOff>133350</xdr:rowOff>
    </xdr:to>
    <xdr:sp>
      <xdr:nvSpPr>
        <xdr:cNvPr id="7" name="AutoShape 9"/>
        <xdr:cNvSpPr>
          <a:spLocks/>
        </xdr:cNvSpPr>
      </xdr:nvSpPr>
      <xdr:spPr>
        <a:xfrm rot="5400000">
          <a:off x="16030575" y="4810125"/>
          <a:ext cx="0" cy="39052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22</xdr:row>
      <xdr:rowOff>104775</xdr:rowOff>
    </xdr:from>
    <xdr:to>
      <xdr:col>31</xdr:col>
      <xdr:colOff>1057275</xdr:colOff>
      <xdr:row>24</xdr:row>
      <xdr:rowOff>133350</xdr:rowOff>
    </xdr:to>
    <xdr:sp>
      <xdr:nvSpPr>
        <xdr:cNvPr id="8" name="AutoShape 10"/>
        <xdr:cNvSpPr>
          <a:spLocks/>
        </xdr:cNvSpPr>
      </xdr:nvSpPr>
      <xdr:spPr>
        <a:xfrm rot="5400000">
          <a:off x="16030575" y="4810125"/>
          <a:ext cx="0" cy="390525"/>
        </a:xfrm>
        <a:prstGeom prst="rightBrace">
          <a:avLst>
            <a:gd name="adj1" fmla="val -41361"/>
            <a:gd name="adj2" fmla="val 96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28</xdr:row>
      <xdr:rowOff>9525</xdr:rowOff>
    </xdr:from>
    <xdr:to>
      <xdr:col>6</xdr:col>
      <xdr:colOff>523875</xdr:colOff>
      <xdr:row>28</xdr:row>
      <xdr:rowOff>142875</xdr:rowOff>
    </xdr:to>
    <xdr:sp>
      <xdr:nvSpPr>
        <xdr:cNvPr id="1" name="AutoShape 2"/>
        <xdr:cNvSpPr>
          <a:spLocks/>
        </xdr:cNvSpPr>
      </xdr:nvSpPr>
      <xdr:spPr>
        <a:xfrm rot="5400000">
          <a:off x="3086100" y="5314950"/>
          <a:ext cx="1133475" cy="133350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38100</xdr:rowOff>
    </xdr:from>
    <xdr:to>
      <xdr:col>10</xdr:col>
      <xdr:colOff>400050</xdr:colOff>
      <xdr:row>28</xdr:row>
      <xdr:rowOff>152400</xdr:rowOff>
    </xdr:to>
    <xdr:sp>
      <xdr:nvSpPr>
        <xdr:cNvPr id="2" name="AutoShape 3"/>
        <xdr:cNvSpPr>
          <a:spLocks/>
        </xdr:cNvSpPr>
      </xdr:nvSpPr>
      <xdr:spPr>
        <a:xfrm rot="5400000">
          <a:off x="4400550" y="5343525"/>
          <a:ext cx="1362075" cy="114300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28</xdr:row>
      <xdr:rowOff>9525</xdr:rowOff>
    </xdr:from>
    <xdr:to>
      <xdr:col>18</xdr:col>
      <xdr:colOff>438150</xdr:colOff>
      <xdr:row>28</xdr:row>
      <xdr:rowOff>142875</xdr:rowOff>
    </xdr:to>
    <xdr:sp>
      <xdr:nvSpPr>
        <xdr:cNvPr id="3" name="AutoShape 4"/>
        <xdr:cNvSpPr>
          <a:spLocks/>
        </xdr:cNvSpPr>
      </xdr:nvSpPr>
      <xdr:spPr>
        <a:xfrm rot="5400000">
          <a:off x="6048375" y="5314950"/>
          <a:ext cx="3086100" cy="133350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28</xdr:row>
      <xdr:rowOff>28575</xdr:rowOff>
    </xdr:from>
    <xdr:to>
      <xdr:col>22</xdr:col>
      <xdr:colOff>419100</xdr:colOff>
      <xdr:row>29</xdr:row>
      <xdr:rowOff>19050</xdr:rowOff>
    </xdr:to>
    <xdr:sp>
      <xdr:nvSpPr>
        <xdr:cNvPr id="4" name="AutoShape 5"/>
        <xdr:cNvSpPr>
          <a:spLocks/>
        </xdr:cNvSpPr>
      </xdr:nvSpPr>
      <xdr:spPr>
        <a:xfrm rot="5400000">
          <a:off x="9382125" y="5334000"/>
          <a:ext cx="1304925" cy="152400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28</xdr:row>
      <xdr:rowOff>0</xdr:rowOff>
    </xdr:from>
    <xdr:to>
      <xdr:col>26</xdr:col>
      <xdr:colOff>428625</xdr:colOff>
      <xdr:row>29</xdr:row>
      <xdr:rowOff>9525</xdr:rowOff>
    </xdr:to>
    <xdr:sp>
      <xdr:nvSpPr>
        <xdr:cNvPr id="5" name="AutoShape 6"/>
        <xdr:cNvSpPr>
          <a:spLocks/>
        </xdr:cNvSpPr>
      </xdr:nvSpPr>
      <xdr:spPr>
        <a:xfrm rot="5400000">
          <a:off x="10906125" y="5305425"/>
          <a:ext cx="1323975" cy="171450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28</xdr:row>
      <xdr:rowOff>28575</xdr:rowOff>
    </xdr:from>
    <xdr:to>
      <xdr:col>30</xdr:col>
      <xdr:colOff>400050</xdr:colOff>
      <xdr:row>29</xdr:row>
      <xdr:rowOff>19050</xdr:rowOff>
    </xdr:to>
    <xdr:sp>
      <xdr:nvSpPr>
        <xdr:cNvPr id="6" name="AutoShape 7"/>
        <xdr:cNvSpPr>
          <a:spLocks/>
        </xdr:cNvSpPr>
      </xdr:nvSpPr>
      <xdr:spPr>
        <a:xfrm rot="5400000">
          <a:off x="12506325" y="5334000"/>
          <a:ext cx="1266825" cy="152400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28</xdr:row>
      <xdr:rowOff>28575</xdr:rowOff>
    </xdr:from>
    <xdr:to>
      <xdr:col>34</xdr:col>
      <xdr:colOff>361950</xdr:colOff>
      <xdr:row>29</xdr:row>
      <xdr:rowOff>9525</xdr:rowOff>
    </xdr:to>
    <xdr:sp>
      <xdr:nvSpPr>
        <xdr:cNvPr id="7" name="AutoShape 8"/>
        <xdr:cNvSpPr>
          <a:spLocks/>
        </xdr:cNvSpPr>
      </xdr:nvSpPr>
      <xdr:spPr>
        <a:xfrm rot="5400000">
          <a:off x="13992225" y="5334000"/>
          <a:ext cx="1190625" cy="142875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28</xdr:row>
      <xdr:rowOff>28575</xdr:rowOff>
    </xdr:from>
    <xdr:to>
      <xdr:col>38</xdr:col>
      <xdr:colOff>361950</xdr:colOff>
      <xdr:row>29</xdr:row>
      <xdr:rowOff>9525</xdr:rowOff>
    </xdr:to>
    <xdr:sp>
      <xdr:nvSpPr>
        <xdr:cNvPr id="8" name="AutoShape 9"/>
        <xdr:cNvSpPr>
          <a:spLocks/>
        </xdr:cNvSpPr>
      </xdr:nvSpPr>
      <xdr:spPr>
        <a:xfrm rot="5400000">
          <a:off x="15430500" y="5334000"/>
          <a:ext cx="1190625" cy="142875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28</xdr:row>
      <xdr:rowOff>38100</xdr:rowOff>
    </xdr:from>
    <xdr:to>
      <xdr:col>42</xdr:col>
      <xdr:colOff>333375</xdr:colOff>
      <xdr:row>29</xdr:row>
      <xdr:rowOff>0</xdr:rowOff>
    </xdr:to>
    <xdr:sp>
      <xdr:nvSpPr>
        <xdr:cNvPr id="9" name="AutoShape 10"/>
        <xdr:cNvSpPr>
          <a:spLocks/>
        </xdr:cNvSpPr>
      </xdr:nvSpPr>
      <xdr:spPr>
        <a:xfrm rot="5400000">
          <a:off x="16868775" y="5343525"/>
          <a:ext cx="1076325" cy="123825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133350</xdr:rowOff>
    </xdr:from>
    <xdr:to>
      <xdr:col>14</xdr:col>
      <xdr:colOff>428625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47700" y="942975"/>
        <a:ext cx="83153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E26" sqref="E26"/>
    </sheetView>
  </sheetViews>
  <sheetFormatPr defaultColWidth="9.140625" defaultRowHeight="12.75"/>
  <cols>
    <col min="2" max="2" width="5.421875" style="0" customWidth="1"/>
    <col min="3" max="3" width="10.7109375" style="0" customWidth="1"/>
    <col min="4" max="4" width="8.421875" style="0" customWidth="1"/>
    <col min="5" max="5" width="15.140625" style="0" customWidth="1"/>
    <col min="6" max="6" width="10.421875" style="0" customWidth="1"/>
    <col min="7" max="7" width="11.421875" style="0" customWidth="1"/>
    <col min="8" max="8" width="8.421875" style="0" customWidth="1"/>
    <col min="9" max="9" width="6.00390625" style="0" customWidth="1"/>
    <col min="10" max="11" width="8.421875" style="0" customWidth="1"/>
  </cols>
  <sheetData>
    <row r="1" spans="1:12" ht="27" customHeight="1">
      <c r="A1" s="349" t="s">
        <v>141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3.5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3.5" thickBot="1">
      <c r="A4" s="105"/>
      <c r="B4" s="105"/>
      <c r="C4" s="352" t="s">
        <v>107</v>
      </c>
      <c r="D4" s="353"/>
      <c r="E4" s="191"/>
      <c r="F4" s="191"/>
      <c r="G4" s="355" t="s">
        <v>161</v>
      </c>
      <c r="H4" s="355"/>
      <c r="I4" s="355"/>
      <c r="J4" s="355"/>
      <c r="K4" s="355"/>
      <c r="L4" s="105"/>
    </row>
    <row r="5" spans="1:15" ht="12.75">
      <c r="A5" s="105"/>
      <c r="B5" s="105"/>
      <c r="C5" s="190"/>
      <c r="D5" s="191"/>
      <c r="E5" s="191"/>
      <c r="F5" s="191"/>
      <c r="G5" s="355"/>
      <c r="H5" s="355"/>
      <c r="I5" s="355"/>
      <c r="J5" s="355"/>
      <c r="K5" s="355"/>
      <c r="L5" s="105"/>
      <c r="M5" s="357" t="s">
        <v>185</v>
      </c>
      <c r="N5" s="358"/>
      <c r="O5" s="359"/>
    </row>
    <row r="6" spans="1:15" ht="12.75">
      <c r="A6" s="105"/>
      <c r="B6" s="105"/>
      <c r="C6" s="190"/>
      <c r="D6" s="191"/>
      <c r="E6" s="191"/>
      <c r="F6" s="191"/>
      <c r="G6" s="355"/>
      <c r="H6" s="355"/>
      <c r="I6" s="355"/>
      <c r="J6" s="355"/>
      <c r="K6" s="355"/>
      <c r="L6" s="105"/>
      <c r="M6" s="360"/>
      <c r="N6" s="361"/>
      <c r="O6" s="344"/>
    </row>
    <row r="7" spans="1:15" ht="12.75">
      <c r="A7" s="105"/>
      <c r="B7" s="105"/>
      <c r="C7" s="190"/>
      <c r="D7" s="191"/>
      <c r="E7" s="191"/>
      <c r="F7" s="191"/>
      <c r="G7" s="355"/>
      <c r="H7" s="355"/>
      <c r="I7" s="355"/>
      <c r="J7" s="355"/>
      <c r="K7" s="355"/>
      <c r="L7" s="105"/>
      <c r="M7" s="360"/>
      <c r="N7" s="361"/>
      <c r="O7" s="344"/>
    </row>
    <row r="8" spans="1:15" ht="13.5" thickBot="1">
      <c r="A8" s="105"/>
      <c r="B8" s="105"/>
      <c r="C8" s="190"/>
      <c r="D8" s="191"/>
      <c r="E8" s="191"/>
      <c r="F8" s="191"/>
      <c r="G8" s="191"/>
      <c r="H8" s="191"/>
      <c r="I8" s="191"/>
      <c r="J8" s="191"/>
      <c r="K8" s="191"/>
      <c r="L8" s="105"/>
      <c r="M8" s="345"/>
      <c r="N8" s="346"/>
      <c r="O8" s="347"/>
    </row>
    <row r="9" spans="1:12" ht="13.5" thickBot="1">
      <c r="A9" s="105"/>
      <c r="B9" s="105"/>
      <c r="C9" s="352" t="s">
        <v>104</v>
      </c>
      <c r="D9" s="348"/>
      <c r="E9" s="353"/>
      <c r="F9" s="191"/>
      <c r="G9" s="355" t="s">
        <v>183</v>
      </c>
      <c r="H9" s="355"/>
      <c r="I9" s="355"/>
      <c r="J9" s="355"/>
      <c r="K9" s="355"/>
      <c r="L9" s="105"/>
    </row>
    <row r="10" spans="1:12" ht="12.75">
      <c r="A10" s="105"/>
      <c r="B10" s="105"/>
      <c r="C10" s="190"/>
      <c r="D10" s="191"/>
      <c r="E10" s="191"/>
      <c r="F10" s="191"/>
      <c r="G10" s="355"/>
      <c r="H10" s="355"/>
      <c r="I10" s="355"/>
      <c r="J10" s="355"/>
      <c r="K10" s="355"/>
      <c r="L10" s="105"/>
    </row>
    <row r="11" spans="1:12" ht="12.75">
      <c r="A11" s="105"/>
      <c r="B11" s="105"/>
      <c r="C11" s="190"/>
      <c r="D11" s="191"/>
      <c r="E11" s="191"/>
      <c r="F11" s="191"/>
      <c r="G11" s="355"/>
      <c r="H11" s="355"/>
      <c r="I11" s="355"/>
      <c r="J11" s="355"/>
      <c r="K11" s="355"/>
      <c r="L11" s="105"/>
    </row>
    <row r="12" spans="1:12" ht="12.75">
      <c r="A12" s="105"/>
      <c r="B12" s="105"/>
      <c r="C12" s="190"/>
      <c r="D12" s="191"/>
      <c r="E12" s="191"/>
      <c r="F12" s="191"/>
      <c r="G12" s="355"/>
      <c r="H12" s="355"/>
      <c r="I12" s="355"/>
      <c r="J12" s="355"/>
      <c r="K12" s="355"/>
      <c r="L12" s="105"/>
    </row>
    <row r="13" spans="1:12" ht="13.5" thickBot="1">
      <c r="A13" s="105"/>
      <c r="B13" s="105"/>
      <c r="C13" s="190"/>
      <c r="D13" s="191"/>
      <c r="E13" s="191"/>
      <c r="F13" s="191"/>
      <c r="G13" s="249"/>
      <c r="H13" s="249"/>
      <c r="I13" s="249"/>
      <c r="J13" s="249"/>
      <c r="K13" s="249"/>
      <c r="L13" s="105"/>
    </row>
    <row r="14" spans="1:12" ht="13.5" thickBot="1">
      <c r="A14" s="105"/>
      <c r="B14" s="105"/>
      <c r="C14" s="352" t="s">
        <v>105</v>
      </c>
      <c r="D14" s="353"/>
      <c r="E14" s="191"/>
      <c r="F14" s="191"/>
      <c r="G14" s="356"/>
      <c r="H14" s="356"/>
      <c r="I14" s="356"/>
      <c r="J14" s="356"/>
      <c r="K14" s="356"/>
      <c r="L14" s="105"/>
    </row>
    <row r="15" spans="1:12" ht="12.75">
      <c r="A15" s="105"/>
      <c r="B15" s="105"/>
      <c r="C15" s="190"/>
      <c r="D15" s="191"/>
      <c r="E15" s="191"/>
      <c r="F15" s="191"/>
      <c r="G15" s="356"/>
      <c r="H15" s="356"/>
      <c r="I15" s="356"/>
      <c r="J15" s="356"/>
      <c r="K15" s="356"/>
      <c r="L15" s="105"/>
    </row>
    <row r="16" spans="1:12" ht="12.75">
      <c r="A16" s="105"/>
      <c r="B16" s="105"/>
      <c r="C16" s="190"/>
      <c r="D16" s="191"/>
      <c r="E16" s="191"/>
      <c r="F16" s="191"/>
      <c r="G16" s="356"/>
      <c r="H16" s="356"/>
      <c r="I16" s="356"/>
      <c r="J16" s="356"/>
      <c r="K16" s="356"/>
      <c r="L16" s="105"/>
    </row>
    <row r="17" spans="1:12" ht="12.75">
      <c r="A17" s="105"/>
      <c r="B17" s="105"/>
      <c r="C17" s="190"/>
      <c r="D17" s="191"/>
      <c r="E17" s="191"/>
      <c r="F17" s="191"/>
      <c r="G17" s="356"/>
      <c r="H17" s="356"/>
      <c r="I17" s="356"/>
      <c r="J17" s="356"/>
      <c r="K17" s="356"/>
      <c r="L17" s="105"/>
    </row>
    <row r="18" spans="1:12" ht="12.75">
      <c r="A18" s="105"/>
      <c r="B18" s="105"/>
      <c r="C18" s="190"/>
      <c r="D18" s="191"/>
      <c r="E18" s="191"/>
      <c r="F18" s="191"/>
      <c r="G18" s="191"/>
      <c r="H18" s="191"/>
      <c r="I18" s="191"/>
      <c r="J18" s="191"/>
      <c r="K18" s="191"/>
      <c r="L18" s="105"/>
    </row>
    <row r="19" spans="1:12" ht="12.75">
      <c r="A19" s="105"/>
      <c r="B19" s="105"/>
      <c r="C19" s="300" t="s">
        <v>106</v>
      </c>
      <c r="D19" s="301"/>
      <c r="E19" s="301"/>
      <c r="F19" s="302" t="s">
        <v>209</v>
      </c>
      <c r="G19" s="303">
        <v>38987</v>
      </c>
      <c r="H19" s="191"/>
      <c r="I19" s="191"/>
      <c r="J19" s="191"/>
      <c r="K19" s="191"/>
      <c r="L19" s="105"/>
    </row>
    <row r="20" spans="1:12" ht="12.75">
      <c r="A20" s="105"/>
      <c r="B20" s="105"/>
      <c r="C20" s="301"/>
      <c r="D20" s="301"/>
      <c r="E20" s="301"/>
      <c r="F20" s="302"/>
      <c r="G20" s="304"/>
      <c r="H20" s="191"/>
      <c r="I20" s="191"/>
      <c r="J20" s="191"/>
      <c r="K20" s="191"/>
      <c r="L20" s="105"/>
    </row>
    <row r="21" spans="1:12" ht="12.75">
      <c r="A21" s="105"/>
      <c r="B21" s="105"/>
      <c r="C21" s="301"/>
      <c r="D21" s="301"/>
      <c r="E21" s="301"/>
      <c r="F21" s="302" t="s">
        <v>210</v>
      </c>
      <c r="G21" s="305">
        <f ca="1">NOW()</f>
        <v>39229.41076585648</v>
      </c>
      <c r="H21" s="191"/>
      <c r="I21" s="191"/>
      <c r="J21" s="191"/>
      <c r="K21" s="191"/>
      <c r="L21" s="105"/>
    </row>
    <row r="22" spans="1:12" ht="12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ht="12.75">
      <c r="A23" s="351" t="s">
        <v>213</v>
      </c>
      <c r="B23" s="351"/>
      <c r="C23" s="351"/>
      <c r="D23" s="105"/>
      <c r="E23" s="105"/>
      <c r="F23" s="105"/>
      <c r="G23" s="105"/>
      <c r="H23" s="105"/>
      <c r="I23" s="105"/>
      <c r="J23" s="105"/>
      <c r="K23" s="105"/>
      <c r="L23" s="105"/>
    </row>
    <row r="25" spans="1:13" ht="12.75">
      <c r="A25" t="s">
        <v>159</v>
      </c>
      <c r="D25" t="s">
        <v>160</v>
      </c>
      <c r="E25" s="354" t="s">
        <v>174</v>
      </c>
      <c r="F25" s="354"/>
      <c r="G25" s="354"/>
      <c r="H25" s="354"/>
      <c r="I25" s="354"/>
      <c r="J25" s="354"/>
      <c r="K25" s="354"/>
      <c r="L25" s="354"/>
      <c r="M25" s="354"/>
    </row>
  </sheetData>
  <sheetProtection password="F750" sheet="1" objects="1" scenarios="1"/>
  <mergeCells count="13">
    <mergeCell ref="M5:O8"/>
    <mergeCell ref="C9:E9"/>
    <mergeCell ref="C4:D4"/>
    <mergeCell ref="A1:L1"/>
    <mergeCell ref="A23:C23"/>
    <mergeCell ref="C14:D14"/>
    <mergeCell ref="E25:M25"/>
    <mergeCell ref="G4:K7"/>
    <mergeCell ref="G9:K12"/>
    <mergeCell ref="G14:K14"/>
    <mergeCell ref="G15:K15"/>
    <mergeCell ref="G16:K16"/>
    <mergeCell ref="G17:K17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2:K4"/>
  <sheetViews>
    <sheetView workbookViewId="0" topLeftCell="A1">
      <selection activeCell="A20" sqref="A20"/>
    </sheetView>
  </sheetViews>
  <sheetFormatPr defaultColWidth="9.140625" defaultRowHeight="12.75"/>
  <cols>
    <col min="1" max="16384" width="9.140625" style="105" customWidth="1"/>
  </cols>
  <sheetData>
    <row r="2" spans="6:11" ht="12.75">
      <c r="F2" s="445" t="s">
        <v>178</v>
      </c>
      <c r="G2" s="445"/>
      <c r="H2" s="445"/>
      <c r="I2" s="445"/>
      <c r="J2" s="445"/>
      <c r="K2" s="445"/>
    </row>
    <row r="3" spans="6:11" ht="12.75">
      <c r="F3" s="445"/>
      <c r="G3" s="445"/>
      <c r="H3" s="445"/>
      <c r="I3" s="445"/>
      <c r="J3" s="445"/>
      <c r="K3" s="445"/>
    </row>
    <row r="4" spans="6:11" ht="12.75">
      <c r="F4" s="445"/>
      <c r="G4" s="445"/>
      <c r="H4" s="445"/>
      <c r="I4" s="445"/>
      <c r="J4" s="445"/>
      <c r="K4" s="445"/>
    </row>
  </sheetData>
  <sheetProtection password="F750" sheet="1" objects="1" scenarios="1"/>
  <mergeCells count="1">
    <mergeCell ref="F2:K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" sqref="N1"/>
    </sheetView>
  </sheetViews>
  <sheetFormatPr defaultColWidth="9.140625" defaultRowHeight="12.75"/>
  <cols>
    <col min="1" max="16384" width="9.140625" style="105" customWidth="1"/>
  </cols>
  <sheetData/>
  <sheetProtection password="F750" sheet="1" objects="1" scenarios="1"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F15" sqref="F15"/>
    </sheetView>
  </sheetViews>
  <sheetFormatPr defaultColWidth="9.140625" defaultRowHeight="12.75"/>
  <cols>
    <col min="1" max="1" width="40.8515625" style="0" customWidth="1"/>
    <col min="2" max="4" width="7.421875" style="0" customWidth="1"/>
    <col min="5" max="5" width="8.421875" style="0" customWidth="1"/>
    <col min="7" max="7" width="8.7109375" style="0" customWidth="1"/>
    <col min="8" max="8" width="8.00390625" style="0" customWidth="1"/>
    <col min="9" max="9" width="7.8515625" style="0" customWidth="1"/>
    <col min="10" max="10" width="6.7109375" style="0" customWidth="1"/>
    <col min="11" max="11" width="1.421875" style="0" customWidth="1"/>
    <col min="12" max="13" width="8.28125" style="0" customWidth="1"/>
    <col min="14" max="14" width="10.421875" style="0" customWidth="1"/>
  </cols>
  <sheetData>
    <row r="1" spans="1:14" ht="12.75">
      <c r="A1" s="105"/>
      <c r="B1" s="449" t="str">
        <f>'Control-NoIsE Factors &amp; Levels'!E1</f>
        <v>LEVELS</v>
      </c>
      <c r="C1" s="449"/>
      <c r="D1" s="449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39.75" customHeight="1">
      <c r="A2" s="107" t="str">
        <f>'Control-NoIsE Factors &amp; Levels'!C2</f>
        <v>CONTROL FACTORS \ LEVELS  </v>
      </c>
      <c r="B2" s="108">
        <f>'Control-NoIsE Factors &amp; Levels'!D2</f>
        <v>1</v>
      </c>
      <c r="C2" s="108">
        <f>'Control-NoIsE Factors &amp; Levels'!E2</f>
        <v>2</v>
      </c>
      <c r="D2" s="108">
        <f>'Control-NoIsE Factors &amp; Levels'!F2</f>
        <v>3</v>
      </c>
      <c r="E2" s="109" t="s">
        <v>39</v>
      </c>
      <c r="F2" s="110" t="s">
        <v>40</v>
      </c>
      <c r="G2" s="110" t="s">
        <v>41</v>
      </c>
      <c r="H2" s="110" t="s">
        <v>95</v>
      </c>
      <c r="I2" s="109" t="s">
        <v>53</v>
      </c>
      <c r="J2" s="110" t="s">
        <v>96</v>
      </c>
      <c r="K2" s="110"/>
      <c r="L2" s="110" t="s">
        <v>117</v>
      </c>
      <c r="M2" s="111" t="s">
        <v>54</v>
      </c>
      <c r="N2" s="112" t="s">
        <v>137</v>
      </c>
    </row>
    <row r="3" spans="1:14" ht="13.5" thickBot="1">
      <c r="A3" s="106"/>
      <c r="B3" s="106"/>
      <c r="C3" s="106"/>
      <c r="D3" s="106"/>
      <c r="E3" s="106"/>
      <c r="F3" s="105"/>
      <c r="G3" s="105"/>
      <c r="H3" s="105"/>
      <c r="I3" s="105"/>
      <c r="J3" s="105"/>
      <c r="K3" s="105"/>
      <c r="L3" s="105"/>
      <c r="M3" s="113"/>
      <c r="N3" s="114"/>
    </row>
    <row r="4" spans="1:14" ht="12.75">
      <c r="A4" s="106" t="str">
        <f>'Control-NoIsE Factors &amp; Levels'!C4</f>
        <v>empty</v>
      </c>
      <c r="B4" s="115">
        <f>'Main Effects &amp; "AXB"'!$F$25</f>
        <v>-48.023613434391685</v>
      </c>
      <c r="C4" s="115">
        <f>'Main Effects &amp; "AXB"'!$G$25</f>
        <v>-42.703343586083406</v>
      </c>
      <c r="D4" s="333"/>
      <c r="E4" s="106">
        <f>IF(OR(A4="-",A4="empty"),0,1)</f>
        <v>0</v>
      </c>
      <c r="F4" s="116">
        <f>IF(J4="yes",0,9*(SUMSQ((B4-B38),(C4-C38))))</f>
        <v>0</v>
      </c>
      <c r="G4" s="116">
        <f>IF(E4=0,0,F4/E4)</f>
        <v>0</v>
      </c>
      <c r="H4" s="116" t="str">
        <f>IF(J4="yes","-",100*F4/F19)</f>
        <v>-</v>
      </c>
      <c r="I4" s="116">
        <f>IF(J4="yes",0,G4/G23)</f>
        <v>0</v>
      </c>
      <c r="J4" s="106" t="str">
        <f>IF(OR(A4="-",A4="empty"),"yes","no")</f>
        <v>yes</v>
      </c>
      <c r="K4" s="106"/>
      <c r="L4" s="106" t="str">
        <f>IF(AND(J4="no",OR(H4&lt;5,I4&lt;1.5)),"pooled",J4)</f>
        <v>yes</v>
      </c>
      <c r="M4" s="215" t="str">
        <f>IF(OR(L4="yes",L4="pooled"),"-",G4/G27)</f>
        <v>-</v>
      </c>
      <c r="N4" s="212" t="str">
        <f>CONCATENATE(" +- ",LEFT(2*SQRT(G$27/'L18-ARRAY'!B23),4)," dB")</f>
        <v> +- 7.29 dB</v>
      </c>
    </row>
    <row r="5" spans="1:14" ht="12.75">
      <c r="A5" s="106" t="str">
        <f>'Control-NoIsE Factors &amp; Levels'!C5</f>
        <v>Temperature</v>
      </c>
      <c r="B5" s="115">
        <f>'Main Effects &amp; "AXB"'!I25</f>
        <v>-24.227495981941278</v>
      </c>
      <c r="C5" s="115">
        <f>'Main Effects &amp; "AXB"'!J25</f>
        <v>-50.10393898438165</v>
      </c>
      <c r="D5" s="115">
        <f>'Main Effects &amp; "AXB"'!K25</f>
        <v>-61.7590005643897</v>
      </c>
      <c r="E5" s="106">
        <f>IF(OR(A5="-",A5="empty"),0,2)</f>
        <v>2</v>
      </c>
      <c r="F5" s="116">
        <f>IF(J5="yes",0,6*(SUMSQ((B5-B38),(C5-C38),(D5-D38))))</f>
        <v>4428.089198229345</v>
      </c>
      <c r="G5" s="116">
        <f>IF(E5=0,0,F5/E5)</f>
        <v>2214.0445991146726</v>
      </c>
      <c r="H5" s="116">
        <f>IF(J5="yes","-",100*F5/F19)</f>
        <v>43.45507873759289</v>
      </c>
      <c r="I5" s="116">
        <f>IF(J5="yes",0,G5/G23)</f>
        <v>27.368453063287987</v>
      </c>
      <c r="J5" s="106" t="str">
        <f>IF(OR(A5="-",A5="empty"),"yes","no")</f>
        <v>no</v>
      </c>
      <c r="K5" s="106"/>
      <c r="L5" s="106" t="str">
        <f aca="true" t="shared" si="0" ref="L5:L13">IF(AND(J5="no",OR(H5&lt;5,I5&lt;1.5)),"pooled",J5)</f>
        <v>no</v>
      </c>
      <c r="M5" s="216">
        <f>IF(OR(L5="yes",L5="pooled"),"-",G5/G27)</f>
        <v>18.477940194877892</v>
      </c>
      <c r="N5" s="213" t="str">
        <f>CONCATENATE(" +- ",LEFT(2*SQRT(G$27/'L18-ARRAY'!G$23),4)," dB")</f>
        <v> +- 8.93 dB</v>
      </c>
    </row>
    <row r="6" spans="1:14" ht="12.75">
      <c r="A6" s="106" t="str">
        <f>CONCATENATE(A4," (1) "," x ",A5," (1,2,3)")</f>
        <v>empty (1)  x Temperature (1,2,3)</v>
      </c>
      <c r="B6" s="115">
        <f>('Main Effects &amp; "AXB"'!$M$25-B15)-(B4-B15)-(B5-B15)</f>
        <v>-0.4327705845592078</v>
      </c>
      <c r="C6" s="115">
        <f>('Main Effects &amp; "AXB"'!$N$25-C15)-(B4-B15)-(C5-C15)</f>
        <v>2.5876417976882777</v>
      </c>
      <c r="D6" s="115">
        <f>('Main Effects &amp; "AXB"'!$O$25-D15)-(B4-B15)-(D5-D15)</f>
        <v>-2.1548712131290912</v>
      </c>
      <c r="E6" s="106">
        <f>IF(OR(A5="-",A5="empty",A4="-",A4="empty"),0,2)</f>
        <v>0</v>
      </c>
      <c r="F6" s="116">
        <f>IF(J6="yes",0,3*(SUMSQ(B6,C6,D6,B7,C7,D7)))</f>
        <v>0</v>
      </c>
      <c r="G6" s="116">
        <f>IF(E6=0,0,F6/E6)</f>
        <v>0</v>
      </c>
      <c r="H6" s="116" t="str">
        <f>IF(J6="yes","-",100*F6/F19)</f>
        <v>-</v>
      </c>
      <c r="I6" s="116">
        <f>IF(J6="yes",0,G6/G23)</f>
        <v>0</v>
      </c>
      <c r="J6" s="106" t="str">
        <f>IF(OR(A4="-",A4="empty",A5="-",A5="empty"),"yes","no")</f>
        <v>yes</v>
      </c>
      <c r="K6" s="106"/>
      <c r="L6" s="106" t="str">
        <f t="shared" si="0"/>
        <v>yes</v>
      </c>
      <c r="M6" s="216" t="str">
        <f>IF(OR(L6="yes",L6="pooled"),"-",G6/G27)</f>
        <v>-</v>
      </c>
      <c r="N6" s="213" t="str">
        <f>CONCATENATE(" +- ",LEFT(2*SQRT(G$27/'L18-ARRAY'!G$23),4)," dB")</f>
        <v> +- 8.93 dB</v>
      </c>
    </row>
    <row r="7" spans="1:14" ht="12.75">
      <c r="A7" s="106" t="str">
        <f>CONCATENATE(A4," (2) "," x ",A5," (1,2,3)")</f>
        <v>empty (2)  x Temperature (1,2,3)</v>
      </c>
      <c r="B7" s="115">
        <f>('Main Effects &amp; "AXB"'!Q25-B15)-(C4-C15)-(B5-B15)</f>
        <v>0.4327705845592007</v>
      </c>
      <c r="C7" s="115">
        <f>('Main Effects &amp; "AXB"'!$R$25-C15)-(C4-C15)-(C5-C15)</f>
        <v>-2.587641797688299</v>
      </c>
      <c r="D7" s="115">
        <f>('Main Effects &amp; "AXB"'!$S$25-D15)-(C4-C15)-(D5-D15)</f>
        <v>2.154871213129084</v>
      </c>
      <c r="E7" s="106"/>
      <c r="F7" s="116"/>
      <c r="G7" s="116"/>
      <c r="H7" s="116"/>
      <c r="I7" s="117"/>
      <c r="J7" s="106"/>
      <c r="K7" s="106"/>
      <c r="L7" s="106"/>
      <c r="M7" s="216"/>
      <c r="N7" s="213" t="str">
        <f>CONCATENATE(" +- ",LEFT(2*SQRT(G$27/'L18-ARRAY'!G$23),4)," dB")</f>
        <v> +- 8.93 dB</v>
      </c>
    </row>
    <row r="8" spans="1:14" ht="12.75">
      <c r="A8" s="106" t="str">
        <f>'Control-NoIsE Factors &amp; Levels'!C6</f>
        <v>Pressure</v>
      </c>
      <c r="B8" s="115">
        <f>'Main Effects &amp; "AXB"'!U25</f>
        <v>-27.551928866861704</v>
      </c>
      <c r="C8" s="115">
        <f>'Main Effects &amp; "AXB"'!V25</f>
        <v>-47.4418425402097</v>
      </c>
      <c r="D8" s="115">
        <f>'Main Effects &amp; "AXB"'!W25</f>
        <v>-61.09666412364123</v>
      </c>
      <c r="E8" s="106">
        <f aca="true" t="shared" si="1" ref="E8:E13">IF(OR(A8="-",A8="empty"),0,2)</f>
        <v>2</v>
      </c>
      <c r="F8" s="116">
        <f>IF(J8="yes",0,6*(SUMSQ((B8-B38),(C8-C38),(D8-D38))))</f>
        <v>3414.624163712021</v>
      </c>
      <c r="G8" s="116">
        <f aca="true" t="shared" si="2" ref="G8:G13">IF(E8=0,0,F8/E8)</f>
        <v>1707.3120818560105</v>
      </c>
      <c r="H8" s="116">
        <f>IF(J8="yes","-",100*F8/F19)</f>
        <v>33.50943381012442</v>
      </c>
      <c r="I8" s="116">
        <f>IF(J8="yes",0,G8/G23)</f>
        <v>21.104584160294326</v>
      </c>
      <c r="J8" s="106" t="str">
        <f aca="true" t="shared" si="3" ref="J8:J13">IF(OR(A8="-",A8="empty"),"yes","no")</f>
        <v>no</v>
      </c>
      <c r="K8" s="106"/>
      <c r="L8" s="106" t="str">
        <f t="shared" si="0"/>
        <v>no</v>
      </c>
      <c r="M8" s="216">
        <f>IF(OR(L8="yes",L8="pooled"),"-",G8/G27)</f>
        <v>14.248859555558518</v>
      </c>
      <c r="N8" s="213" t="str">
        <f>CONCATENATE(" +- ",LEFT(2*SQRT(G$27/'L18-ARRAY'!G$23),4)," dB")</f>
        <v> +- 8.93 dB</v>
      </c>
    </row>
    <row r="9" spans="1:14" ht="12.75">
      <c r="A9" s="106" t="str">
        <f>'Control-NoIsE Factors &amp; Levels'!C7</f>
        <v>Nitrogen</v>
      </c>
      <c r="B9" s="115">
        <f>'Main Effects &amp; "AXB"'!Y25</f>
        <v>-39.02770784610504</v>
      </c>
      <c r="C9" s="115">
        <f>'Main Effects &amp; "AXB"'!Z25</f>
        <v>-55.992465761398954</v>
      </c>
      <c r="D9" s="115">
        <f>'Main Effects &amp; "AXB"'!AA25</f>
        <v>-41.070261923208626</v>
      </c>
      <c r="E9" s="106">
        <f t="shared" si="1"/>
        <v>2</v>
      </c>
      <c r="F9" s="116">
        <f>IF(J9="yes",0,6*(SUMSQ((B9-B38),(C9-C38),(D9-D38))))</f>
        <v>1029.2944113418444</v>
      </c>
      <c r="G9" s="116">
        <f t="shared" si="2"/>
        <v>514.6472056709222</v>
      </c>
      <c r="H9" s="116">
        <f>IF(J9="yes","-",100*F9/F19)</f>
        <v>10.100986607701927</v>
      </c>
      <c r="I9" s="116">
        <f>IF(J9="yes",0,G9/G23)</f>
        <v>6.3617046820959</v>
      </c>
      <c r="J9" s="106" t="str">
        <f t="shared" si="3"/>
        <v>no</v>
      </c>
      <c r="K9" s="106"/>
      <c r="L9" s="106" t="str">
        <f t="shared" si="0"/>
        <v>no</v>
      </c>
      <c r="M9" s="216">
        <f>IF(OR(L9="yes",L9="pooled"),"-",G9/G27)</f>
        <v>4.295134927115255</v>
      </c>
      <c r="N9" s="213" t="str">
        <f>CONCATENATE(" +- ",LEFT(2*SQRT(G$27/'L18-ARRAY'!G$23),4)," dB")</f>
        <v> +- 8.93 dB</v>
      </c>
    </row>
    <row r="10" spans="1:14" ht="12.75">
      <c r="A10" s="106" t="str">
        <f>'Control-NoIsE Factors &amp; Levels'!C8</f>
        <v>Silane</v>
      </c>
      <c r="B10" s="115">
        <f>'Main Effects &amp; "AXB"'!AC25</f>
        <v>-39.2026562915849</v>
      </c>
      <c r="C10" s="115">
        <f>'Main Effects &amp; "AXB"'!AD25</f>
        <v>-46.85203658850718</v>
      </c>
      <c r="D10" s="115">
        <f>'Main Effects &amp; "AXB"'!AE25</f>
        <v>-50.035742650620556</v>
      </c>
      <c r="E10" s="106">
        <f t="shared" si="1"/>
        <v>2</v>
      </c>
      <c r="F10" s="116">
        <f>IF(J10="yes",0,6*(SUMSQ((B10-B38),(C10-C38),(D10-D38))))</f>
        <v>372.0095265584092</v>
      </c>
      <c r="G10" s="116">
        <f t="shared" si="2"/>
        <v>186.0047632792046</v>
      </c>
      <c r="H10" s="116">
        <f>IF(J10="yes","-",100*F10/F19)</f>
        <v>3.6507176219924586</v>
      </c>
      <c r="I10" s="116">
        <f>IF(J10="yes",0,G10/G23)</f>
        <v>2.2992592991986256</v>
      </c>
      <c r="J10" s="106" t="str">
        <f t="shared" si="3"/>
        <v>no</v>
      </c>
      <c r="K10" s="106"/>
      <c r="L10" s="106" t="str">
        <f t="shared" si="0"/>
        <v>pooled</v>
      </c>
      <c r="M10" s="216" t="str">
        <f>IF(OR(L10="yes",L10="pooled"),"-",G10/G27)</f>
        <v>-</v>
      </c>
      <c r="N10" s="213" t="str">
        <f>CONCATENATE(" +- ",LEFT(2*SQRT(G$27/'L18-ARRAY'!G$23),4)," dB")</f>
        <v> +- 8.93 dB</v>
      </c>
    </row>
    <row r="11" spans="1:14" ht="12.75">
      <c r="A11" s="106" t="str">
        <f>'Control-NoIsE Factors &amp; Levels'!C9</f>
        <v>Initial Settling time</v>
      </c>
      <c r="B11" s="115">
        <f>'Main Effects &amp; "AXB"'!AG25</f>
        <v>-51.52440983508726</v>
      </c>
      <c r="C11" s="115">
        <f>'Main Effects &amp; "AXB"'!AH25</f>
        <v>-40.53667356212213</v>
      </c>
      <c r="D11" s="115">
        <f>'Main Effects &amp; "AXB"'!AI25</f>
        <v>-44.02935213350323</v>
      </c>
      <c r="E11" s="106">
        <f t="shared" si="1"/>
        <v>2</v>
      </c>
      <c r="F11" s="116">
        <f>IF(J11="yes",0,6*(SUMSQ((B11-B38),(C11-C38),(D11-D38))))</f>
        <v>378.2100839145849</v>
      </c>
      <c r="G11" s="116">
        <f t="shared" si="2"/>
        <v>189.10504195729246</v>
      </c>
      <c r="H11" s="116">
        <f>IF(J11="yes","-",100*F11/F19)</f>
        <v>3.7115668271614326</v>
      </c>
      <c r="I11" s="116">
        <f>IF(J11="yes",0,G11/G23)</f>
        <v>2.33758275100185</v>
      </c>
      <c r="J11" s="106" t="str">
        <f t="shared" si="3"/>
        <v>no</v>
      </c>
      <c r="K11" s="106"/>
      <c r="L11" s="106" t="str">
        <f t="shared" si="0"/>
        <v>pooled</v>
      </c>
      <c r="M11" s="216" t="str">
        <f>IF(OR(L11="yes",L11="pooled"),"-",G11/G27)</f>
        <v>-</v>
      </c>
      <c r="N11" s="213" t="str">
        <f>CONCATENATE(" +- ",LEFT(2*SQRT(G$27/'L18-ARRAY'!G$23),4)," dB")</f>
        <v> +- 8.93 dB</v>
      </c>
    </row>
    <row r="12" spans="1:14" ht="12.75">
      <c r="A12" s="106" t="str">
        <f>'Control-NoIsE Factors &amp; Levels'!C10</f>
        <v>-</v>
      </c>
      <c r="B12" s="115">
        <f>'Main Effects &amp; "AXB"'!AK25</f>
        <v>-41.483743217257995</v>
      </c>
      <c r="C12" s="115">
        <f>'Main Effects &amp; "AXB"'!AL25</f>
        <v>-49.761050158230944</v>
      </c>
      <c r="D12" s="115">
        <f>'Main Effects &amp; "AXB"'!AM25</f>
        <v>-44.845642155223686</v>
      </c>
      <c r="E12" s="106">
        <f t="shared" si="1"/>
        <v>0</v>
      </c>
      <c r="F12" s="116">
        <f>IF(J12="yes",0,6*(SUMSQ((B12-B38),(C12-C38),(D12-D38))))</f>
        <v>0</v>
      </c>
      <c r="G12" s="116">
        <f t="shared" si="2"/>
        <v>0</v>
      </c>
      <c r="H12" s="116" t="str">
        <f>IF(J12="yes","-",100*F12/F19)</f>
        <v>-</v>
      </c>
      <c r="I12" s="116">
        <f>IF(J12="yes",0,G12/G23)</f>
        <v>0</v>
      </c>
      <c r="J12" s="106" t="str">
        <f t="shared" si="3"/>
        <v>yes</v>
      </c>
      <c r="K12" s="106"/>
      <c r="L12" s="106" t="str">
        <f t="shared" si="0"/>
        <v>yes</v>
      </c>
      <c r="M12" s="216" t="str">
        <f>IF(OR(L12="yes",L12="pooled"),"-",G12/G27)</f>
        <v>-</v>
      </c>
      <c r="N12" s="213" t="str">
        <f>CONCATENATE(" +- ",LEFT(2*SQRT(G$27/'L18-ARRAY'!G$23),4)," dB")</f>
        <v> +- 8.93 dB</v>
      </c>
    </row>
    <row r="13" spans="1:14" ht="13.5" thickBot="1">
      <c r="A13" s="118" t="str">
        <f>'Control-NoIsE Factors &amp; Levels'!C11</f>
        <v>Cleaning Method</v>
      </c>
      <c r="B13" s="119">
        <f>'Main Effects &amp; "AXB"'!AO25</f>
        <v>-45.55849828939992</v>
      </c>
      <c r="C13" s="119">
        <f>'Main Effects &amp; "AXB"'!AP25</f>
        <v>-41.580634506167065</v>
      </c>
      <c r="D13" s="119">
        <f>'Main Effects &amp; "AXB"'!AQ25</f>
        <v>-48.95130273514564</v>
      </c>
      <c r="E13" s="118">
        <f t="shared" si="1"/>
        <v>2</v>
      </c>
      <c r="F13" s="120">
        <f>IF(J13="yes",0,6*(SUMSQ((B13-B38),(C13-C38),(D13-D38))))</f>
        <v>163.3225448534033</v>
      </c>
      <c r="G13" s="120">
        <f t="shared" si="2"/>
        <v>81.66127242670164</v>
      </c>
      <c r="H13" s="120">
        <f>IF(J13="yes","-",100*F13/F19)</f>
        <v>1.6027667304142459</v>
      </c>
      <c r="I13" s="120">
        <f>IF(J13="yes",0,G13/G23)</f>
        <v>1.0094388804960122</v>
      </c>
      <c r="J13" s="118" t="str">
        <f t="shared" si="3"/>
        <v>no</v>
      </c>
      <c r="K13" s="118"/>
      <c r="L13" s="118" t="str">
        <f t="shared" si="0"/>
        <v>pooled</v>
      </c>
      <c r="M13" s="217" t="str">
        <f>IF(OR(L13="yes",L13="pooled"),"-",G13/G27)</f>
        <v>-</v>
      </c>
      <c r="N13" s="214" t="str">
        <f>CONCATENATE(" +- ",LEFT(2*SQRT(G$27/'L18-ARRAY'!G$23),4)," dB")</f>
        <v> +- 8.93 dB</v>
      </c>
    </row>
    <row r="14" spans="1:14" ht="12.7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27.75" customHeight="1">
      <c r="A15" s="121" t="s">
        <v>78</v>
      </c>
      <c r="B15" s="115">
        <f>'Main Effects &amp; "AXB"'!$B$30</f>
        <v>-45.36347851023755</v>
      </c>
      <c r="C15" s="115">
        <f>'Main Effects &amp; "AXB"'!$B$30</f>
        <v>-45.36347851023755</v>
      </c>
      <c r="D15" s="115">
        <f>'Main Effects &amp; "AXB"'!$B$30</f>
        <v>-45.36347851023755</v>
      </c>
      <c r="E15" s="105"/>
      <c r="F15" s="105"/>
      <c r="G15" s="105"/>
      <c r="H15" s="452" t="s">
        <v>166</v>
      </c>
      <c r="I15" s="452"/>
      <c r="J15" s="452"/>
      <c r="K15" s="105"/>
      <c r="L15" s="106">
        <f>IF(OR(L4="pooled",L4="yes"),0,1)</f>
        <v>0</v>
      </c>
      <c r="M15" s="105"/>
      <c r="N15" s="105"/>
    </row>
    <row r="16" spans="1:14" ht="27.75" customHeight="1">
      <c r="A16" s="105"/>
      <c r="B16" s="105"/>
      <c r="C16" s="105"/>
      <c r="D16" s="105"/>
      <c r="E16" s="105"/>
      <c r="F16" s="105"/>
      <c r="G16" s="105"/>
      <c r="H16" s="452" t="s">
        <v>167</v>
      </c>
      <c r="I16" s="452"/>
      <c r="J16" s="452"/>
      <c r="K16" s="105"/>
      <c r="L16" s="106">
        <f>SUM(IF(OR(L5="pooled",L5="yes"),0,1),IF(OR(L6="pooled",L6="yes"),0,1),IF(OR(L8="pooled",L8="yes"),0,1),IF(OR(L9="pooled",L9="yes"),0,1),IF(OR(L10="pooled",L10="yes"),0,1),IF(OR(L11="pooled",L11="yes"),0,1),IF(OR(L12="pooled",L12="yes"),0,1),IF(OR(L13="pooled",L13="yes"),0,1),)</f>
        <v>3</v>
      </c>
      <c r="M16" s="105"/>
      <c r="N16" s="105"/>
    </row>
    <row r="17" spans="1:14" ht="12.75">
      <c r="A17" s="121" t="s">
        <v>43</v>
      </c>
      <c r="B17" s="105"/>
      <c r="C17" s="105"/>
      <c r="D17" s="105"/>
      <c r="E17" s="105"/>
      <c r="F17" s="116">
        <f>SUM(F4:F13)</f>
        <v>9785.549928609607</v>
      </c>
      <c r="G17" s="106"/>
      <c r="H17" s="106"/>
      <c r="I17" s="105"/>
      <c r="J17" s="105"/>
      <c r="K17" s="105"/>
      <c r="L17" s="105"/>
      <c r="M17" s="105"/>
      <c r="N17" s="105"/>
    </row>
    <row r="18" spans="1:14" ht="6" customHeight="1">
      <c r="A18" s="105"/>
      <c r="B18" s="105"/>
      <c r="C18" s="105"/>
      <c r="D18" s="105"/>
      <c r="E18" s="105"/>
      <c r="F18" s="116"/>
      <c r="G18" s="106"/>
      <c r="H18" s="106"/>
      <c r="I18" s="105"/>
      <c r="J18" s="105"/>
      <c r="K18" s="105"/>
      <c r="L18" s="105"/>
      <c r="M18" s="105"/>
      <c r="N18" s="105"/>
    </row>
    <row r="19" spans="1:14" ht="12.75">
      <c r="A19" s="105" t="s">
        <v>46</v>
      </c>
      <c r="B19" s="115"/>
      <c r="C19" s="105"/>
      <c r="D19" s="105"/>
      <c r="E19" s="105"/>
      <c r="F19" s="116">
        <f>'Main Effects &amp; "AXB"'!$B$32</f>
        <v>10190.038372657727</v>
      </c>
      <c r="G19" s="106"/>
      <c r="H19" s="106"/>
      <c r="I19" s="105"/>
      <c r="J19" s="105"/>
      <c r="K19" s="105"/>
      <c r="L19" s="105"/>
      <c r="M19" s="105"/>
      <c r="N19" s="105"/>
    </row>
    <row r="20" spans="1:14" ht="8.25" customHeight="1">
      <c r="A20" s="105"/>
      <c r="B20" s="115"/>
      <c r="C20" s="105"/>
      <c r="D20" s="105"/>
      <c r="E20" s="105"/>
      <c r="F20" s="116"/>
      <c r="G20" s="106"/>
      <c r="H20" s="106"/>
      <c r="I20" s="105"/>
      <c r="J20" s="105"/>
      <c r="K20" s="105"/>
      <c r="L20" s="105"/>
      <c r="M20" s="105"/>
      <c r="N20" s="105"/>
    </row>
    <row r="21" spans="1:14" ht="12.75">
      <c r="A21" s="122" t="s">
        <v>133</v>
      </c>
      <c r="B21" s="105"/>
      <c r="C21" s="105"/>
      <c r="D21" s="105"/>
      <c r="E21" s="106">
        <f>'L18-ARRAY'!$J$23-1-SUM(IF(J4="yes",0,E4),IF(J5="yes",0,E5),IF(J6="yes",0,E6),IF(J8="yes",0,E8),IF(J9="yes",0,E9),IF(J10="yes",0,E10),IF(J11="yes",0,E11),IF(J12="yes",0,E12),IF(J13="yes",0,E13))</f>
        <v>5</v>
      </c>
      <c r="F21" s="116">
        <f>F19-F17</f>
        <v>404.4884440481201</v>
      </c>
      <c r="G21" s="115"/>
      <c r="H21" s="115"/>
      <c r="I21" s="105"/>
      <c r="J21" s="123"/>
      <c r="K21" s="123"/>
      <c r="L21" s="123"/>
      <c r="M21" s="105"/>
      <c r="N21" s="105"/>
    </row>
    <row r="22" spans="1:14" ht="6.75" customHeight="1">
      <c r="A22" s="122"/>
      <c r="B22" s="105"/>
      <c r="C22" s="105"/>
      <c r="D22" s="105"/>
      <c r="E22" s="106"/>
      <c r="F22" s="116"/>
      <c r="G22" s="115"/>
      <c r="H22" s="115"/>
      <c r="I22" s="451">
        <f>IF(E21=0,"Since DF-for-error = zero, Error has been assumed to be 1% of Total sum of squares","")</f>
      </c>
      <c r="J22" s="451"/>
      <c r="K22" s="451"/>
      <c r="L22" s="451"/>
      <c r="M22" s="451"/>
      <c r="N22" s="451"/>
    </row>
    <row r="23" spans="1:14" ht="12.75">
      <c r="A23" s="122" t="s">
        <v>134</v>
      </c>
      <c r="B23" s="105"/>
      <c r="C23" s="105"/>
      <c r="D23" s="105"/>
      <c r="E23" s="106"/>
      <c r="F23" s="116"/>
      <c r="G23" s="115">
        <f>IF(E21=0,0.01*F19,F21/E21)</f>
        <v>80.89768880962401</v>
      </c>
      <c r="H23" s="115"/>
      <c r="I23" s="451"/>
      <c r="J23" s="451"/>
      <c r="K23" s="451"/>
      <c r="L23" s="451"/>
      <c r="M23" s="451"/>
      <c r="N23" s="451"/>
    </row>
    <row r="24" spans="1:14" ht="6.75" customHeight="1">
      <c r="A24" s="121"/>
      <c r="B24" s="105"/>
      <c r="C24" s="105"/>
      <c r="D24" s="105"/>
      <c r="E24" s="106"/>
      <c r="F24" s="116"/>
      <c r="G24" s="106"/>
      <c r="H24" s="106"/>
      <c r="I24" s="451"/>
      <c r="J24" s="451"/>
      <c r="K24" s="451"/>
      <c r="L24" s="451"/>
      <c r="M24" s="451"/>
      <c r="N24" s="451"/>
    </row>
    <row r="25" spans="1:14" ht="12.75">
      <c r="A25" s="121" t="s">
        <v>135</v>
      </c>
      <c r="B25" s="105"/>
      <c r="C25" s="105"/>
      <c r="D25" s="105"/>
      <c r="E25" s="106">
        <f>E21+SUM(IF(L4="pooled",E4,0),IF(L5="pooled",E5,0),IF(L6="pooled",E6,0),IF(L8="pooled",E8,0),IF(L9="pooled",E9,0),IF(L10="pooled",E10,0),IF(L11="pooled",E11,0),IF(L12="pooled",E12,0),IF(L13="pooled",E13,0))</f>
        <v>11</v>
      </c>
      <c r="F25" s="116">
        <f>F21+IF(L4="pooled",1,0)*F4+IF(L5="pooled",1,0)*F5+IF(L8="pooled",1,0)*F8+IF(L9="pooled",1,0)*F9+IF(L10="pooled",1,0)*F10+IF(L11="pooled",1,0)*F11+IF(L12="pooled",1,0)*F12+IF(L13="pooled",1,0)*F13</f>
        <v>1318.0305993745176</v>
      </c>
      <c r="G25" s="115"/>
      <c r="H25" s="115"/>
      <c r="I25" s="105"/>
      <c r="J25" s="123"/>
      <c r="K25" s="123"/>
      <c r="L25" s="123"/>
      <c r="M25" s="105"/>
      <c r="N25" s="105"/>
    </row>
    <row r="26" spans="1:14" ht="7.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23"/>
      <c r="K26" s="123"/>
      <c r="L26" s="123"/>
      <c r="M26" s="105"/>
      <c r="N26" s="105"/>
    </row>
    <row r="27" spans="1:14" ht="12.75">
      <c r="A27" s="121" t="s">
        <v>136</v>
      </c>
      <c r="B27" s="105"/>
      <c r="C27" s="105"/>
      <c r="D27" s="105"/>
      <c r="E27" s="121"/>
      <c r="F27" s="105"/>
      <c r="G27" s="124">
        <f>F25/E25</f>
        <v>119.8209635795016</v>
      </c>
      <c r="H27" s="125"/>
      <c r="I27" s="105"/>
      <c r="J27" s="123"/>
      <c r="K27" s="123"/>
      <c r="L27" s="123"/>
      <c r="M27" s="105"/>
      <c r="N27" s="105"/>
    </row>
    <row r="28" spans="1:14" ht="7.5" customHeight="1">
      <c r="A28" s="121"/>
      <c r="B28" s="105"/>
      <c r="C28" s="105"/>
      <c r="D28" s="105"/>
      <c r="E28" s="121"/>
      <c r="F28" s="105"/>
      <c r="G28" s="124"/>
      <c r="H28" s="125"/>
      <c r="I28" s="105"/>
      <c r="J28" s="123"/>
      <c r="K28" s="123"/>
      <c r="L28" s="123"/>
      <c r="M28" s="105"/>
      <c r="N28" s="105"/>
    </row>
    <row r="29" spans="1:14" ht="14.25" customHeight="1">
      <c r="A29" s="126" t="s">
        <v>157</v>
      </c>
      <c r="B29" s="105"/>
      <c r="C29" s="127"/>
      <c r="D29" s="105"/>
      <c r="E29" s="121"/>
      <c r="F29" s="105"/>
      <c r="G29" s="124">
        <f>2*SQRT(G27/'L18-ARRAY'!$B$23)</f>
        <v>7.297517495072526</v>
      </c>
      <c r="H29" s="125"/>
      <c r="I29" s="225"/>
      <c r="J29" s="231"/>
      <c r="K29" s="231"/>
      <c r="L29" s="231"/>
      <c r="M29" s="231"/>
      <c r="N29" s="228"/>
    </row>
    <row r="30" spans="1:14" s="193" customFormat="1" ht="37.5" customHeight="1">
      <c r="A30" s="235" t="s">
        <v>158</v>
      </c>
      <c r="B30" s="236"/>
      <c r="C30" s="237"/>
      <c r="D30" s="236"/>
      <c r="E30" s="238"/>
      <c r="F30" s="236"/>
      <c r="G30" s="239">
        <f>2*SQRT(G27/'L18-ARRAY'!$G$23)</f>
        <v>8.937597125980473</v>
      </c>
      <c r="H30" s="240"/>
      <c r="I30" s="453" t="s">
        <v>168</v>
      </c>
      <c r="J30" s="454"/>
      <c r="K30" s="454"/>
      <c r="L30" s="454"/>
      <c r="M30" s="454"/>
      <c r="N30" s="233">
        <f>(1/'L18-ARRAY'!J$23+L$15/'L18-ARRAY'!B$23+L$16/'L18-ARRAY'!G$23)</f>
        <v>0.5555555555555556</v>
      </c>
    </row>
    <row r="31" spans="1:14" ht="6.75" customHeight="1">
      <c r="A31" s="121"/>
      <c r="B31" s="105"/>
      <c r="C31" s="105"/>
      <c r="D31" s="105"/>
      <c r="E31" s="121"/>
      <c r="F31" s="105"/>
      <c r="G31" s="124"/>
      <c r="H31" s="125"/>
      <c r="I31" s="105"/>
      <c r="J31" s="123"/>
      <c r="K31" s="123"/>
      <c r="L31" s="123"/>
      <c r="M31" s="105"/>
      <c r="N31" s="105"/>
    </row>
    <row r="32" spans="1:14" ht="12.75" customHeight="1">
      <c r="A32" s="450" t="s">
        <v>171</v>
      </c>
      <c r="B32" s="450"/>
      <c r="C32" s="450"/>
      <c r="D32" s="450"/>
      <c r="E32" s="85"/>
      <c r="F32" s="85"/>
      <c r="G32" s="84">
        <f>G27/N36</f>
        <v>90.53139470451232</v>
      </c>
      <c r="H32" s="125"/>
      <c r="I32" s="229"/>
      <c r="J32" s="230"/>
      <c r="K32" s="123"/>
      <c r="L32" s="227"/>
      <c r="M32" s="105"/>
      <c r="N32" s="105"/>
    </row>
    <row r="33" spans="1:14" ht="27" customHeight="1">
      <c r="A33" s="85"/>
      <c r="B33" s="85"/>
      <c r="C33" s="85"/>
      <c r="D33" s="85"/>
      <c r="E33" s="85"/>
      <c r="F33" s="85"/>
      <c r="G33" s="84"/>
      <c r="H33" s="105"/>
      <c r="I33" s="446" t="s">
        <v>169</v>
      </c>
      <c r="J33" s="446"/>
      <c r="K33" s="446"/>
      <c r="L33" s="232">
        <f>'Qual char &amp; S-N Ratio &amp;repeatNo'!$H$2</f>
        <v>5</v>
      </c>
      <c r="M33" s="105"/>
      <c r="N33" s="105"/>
    </row>
    <row r="34" spans="1:14" ht="12.75">
      <c r="A34" s="448" t="s">
        <v>90</v>
      </c>
      <c r="B34" s="448"/>
      <c r="C34" s="448"/>
      <c r="D34" s="448"/>
      <c r="E34" s="128"/>
      <c r="F34" s="128"/>
      <c r="G34" s="129">
        <f>2*SQRT(G32)</f>
        <v>19.02959744235409</v>
      </c>
      <c r="H34" s="105"/>
      <c r="I34" s="105"/>
      <c r="J34" s="123"/>
      <c r="K34" s="123"/>
      <c r="L34" s="123"/>
      <c r="M34" s="105"/>
      <c r="N34" s="105"/>
    </row>
    <row r="35" spans="1:14" ht="5.25" customHeight="1">
      <c r="A35" s="85"/>
      <c r="B35" s="85"/>
      <c r="C35" s="85"/>
      <c r="D35" s="85"/>
      <c r="E35" s="85"/>
      <c r="F35" s="85"/>
      <c r="G35" s="84"/>
      <c r="H35" s="105"/>
      <c r="I35" s="105"/>
      <c r="J35" s="123"/>
      <c r="K35" s="123"/>
      <c r="L35" s="123"/>
      <c r="M35" s="105"/>
      <c r="N35" s="105"/>
    </row>
    <row r="36" spans="1:14" ht="30" customHeight="1">
      <c r="A36" s="121" t="s">
        <v>52</v>
      </c>
      <c r="B36" s="105"/>
      <c r="C36" s="105"/>
      <c r="D36" s="105"/>
      <c r="E36" s="105"/>
      <c r="F36" s="105"/>
      <c r="G36" s="105"/>
      <c r="H36" s="105"/>
      <c r="I36" s="226"/>
      <c r="J36" s="447" t="s">
        <v>170</v>
      </c>
      <c r="K36" s="447"/>
      <c r="L36" s="447"/>
      <c r="M36" s="447"/>
      <c r="N36" s="234">
        <f>1/(N30+1/L33)</f>
        <v>1.3235294117647058</v>
      </c>
    </row>
    <row r="37" spans="1:14" ht="21.75" customHeight="1">
      <c r="A37" s="105"/>
      <c r="B37" s="105"/>
      <c r="C37" s="105"/>
      <c r="D37" s="105"/>
      <c r="E37" s="105"/>
      <c r="F37" s="105"/>
      <c r="G37" s="105"/>
      <c r="H37" s="105"/>
      <c r="I37" s="226"/>
      <c r="J37" s="226"/>
      <c r="K37" s="226"/>
      <c r="L37" s="226"/>
      <c r="M37" s="226"/>
      <c r="N37" s="168"/>
    </row>
    <row r="38" spans="1:14" ht="12.75">
      <c r="A38" s="121" t="s">
        <v>42</v>
      </c>
      <c r="B38" s="115">
        <f>'Main Effects &amp; "AXB"'!$B$30</f>
        <v>-45.36347851023755</v>
      </c>
      <c r="C38" s="115">
        <f>'Main Effects &amp; "AXB"'!$B$30</f>
        <v>-45.36347851023755</v>
      </c>
      <c r="D38" s="115">
        <f>'Main Effects &amp; "AXB"'!$B$30</f>
        <v>-45.36347851023755</v>
      </c>
      <c r="E38" s="115"/>
      <c r="F38" s="115">
        <f>'Main Effects &amp; "AXB"'!$B$30</f>
        <v>-45.36347851023755</v>
      </c>
      <c r="G38" s="105"/>
      <c r="H38" s="105"/>
      <c r="I38" s="105"/>
      <c r="J38" s="105"/>
      <c r="K38" s="105"/>
      <c r="L38" s="105"/>
      <c r="M38" s="105"/>
      <c r="N38" s="105"/>
    </row>
    <row r="40" spans="1:6" ht="12.75" hidden="1">
      <c r="A40" t="s">
        <v>46</v>
      </c>
      <c r="B40" s="16">
        <f>'Main Effects &amp; "AXB"'!$B$32</f>
        <v>10190.038372657727</v>
      </c>
      <c r="F40" s="17"/>
    </row>
    <row r="42" spans="1:12" ht="12.75" hidden="1">
      <c r="A42" s="369" t="s">
        <v>138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</row>
  </sheetData>
  <sheetProtection/>
  <mergeCells count="10">
    <mergeCell ref="B1:D1"/>
    <mergeCell ref="A32:D32"/>
    <mergeCell ref="I22:N24"/>
    <mergeCell ref="H15:J15"/>
    <mergeCell ref="H16:J16"/>
    <mergeCell ref="I30:M30"/>
    <mergeCell ref="I33:K33"/>
    <mergeCell ref="J36:M36"/>
    <mergeCell ref="A42:L42"/>
    <mergeCell ref="A34:D3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U62"/>
  <sheetViews>
    <sheetView workbookViewId="0" topLeftCell="A1">
      <selection activeCell="G42" sqref="G42:G49"/>
    </sheetView>
  </sheetViews>
  <sheetFormatPr defaultColWidth="9.140625" defaultRowHeight="12.75"/>
  <cols>
    <col min="1" max="1" width="15.421875" style="5" customWidth="1"/>
    <col min="2" max="2" width="16.8515625" style="5" customWidth="1"/>
    <col min="3" max="3" width="1.57421875" style="5" customWidth="1"/>
    <col min="4" max="5" width="9.140625" style="11" customWidth="1"/>
    <col min="6" max="6" width="10.8515625" style="11" customWidth="1"/>
    <col min="7" max="7" width="9.7109375" style="5" customWidth="1"/>
    <col min="8" max="8" width="12.140625" style="5" customWidth="1"/>
    <col min="9" max="9" width="11.28125" style="11" customWidth="1"/>
    <col min="10" max="10" width="2.28125" style="5" customWidth="1"/>
    <col min="11" max="11" width="24.28125" style="5" customWidth="1"/>
    <col min="12" max="12" width="16.7109375" style="5" customWidth="1"/>
    <col min="13" max="13" width="22.421875" style="5" customWidth="1"/>
    <col min="14" max="14" width="19.57421875" style="5" customWidth="1"/>
    <col min="15" max="17" width="7.7109375" style="5" customWidth="1"/>
    <col min="18" max="18" width="2.57421875" style="5" customWidth="1"/>
    <col min="19" max="21" width="7.7109375" style="5" customWidth="1"/>
    <col min="22" max="22" width="1.8515625" style="5" customWidth="1"/>
    <col min="23" max="25" width="7.00390625" style="5" customWidth="1"/>
    <col min="26" max="26" width="2.00390625" style="5" customWidth="1"/>
    <col min="27" max="29" width="7.00390625" style="5" customWidth="1"/>
    <col min="30" max="30" width="3.140625" style="5" customWidth="1"/>
    <col min="31" max="33" width="6.7109375" style="5" customWidth="1"/>
    <col min="34" max="34" width="2.140625" style="5" customWidth="1"/>
    <col min="35" max="37" width="6.421875" style="5" customWidth="1"/>
    <col min="38" max="38" width="2.00390625" style="5" customWidth="1"/>
    <col min="39" max="41" width="6.57421875" style="5" customWidth="1"/>
    <col min="42" max="42" width="2.00390625" style="5" customWidth="1"/>
    <col min="43" max="45" width="5.8515625" style="5" customWidth="1"/>
    <col min="46" max="46" width="2.7109375" style="5" customWidth="1"/>
    <col min="47" max="16384" width="9.140625" style="5" customWidth="1"/>
  </cols>
  <sheetData>
    <row r="1" spans="1:47" ht="15">
      <c r="A1" s="43" t="s">
        <v>8</v>
      </c>
      <c r="B1" s="44"/>
      <c r="C1" s="44"/>
      <c r="D1" s="45"/>
      <c r="E1" s="45"/>
      <c r="F1" s="45"/>
      <c r="G1" s="44"/>
      <c r="H1" s="44"/>
      <c r="I1" s="45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6"/>
      <c r="AU1" s="46"/>
    </row>
    <row r="2" spans="1:47" ht="15" hidden="1">
      <c r="A2" s="47"/>
      <c r="B2" s="48"/>
      <c r="C2" s="48"/>
      <c r="D2" s="49"/>
      <c r="E2" s="49"/>
      <c r="F2" s="443" t="s">
        <v>55</v>
      </c>
      <c r="G2" s="443"/>
      <c r="H2" s="48"/>
      <c r="I2" s="49"/>
      <c r="J2" s="48"/>
      <c r="K2" s="443" t="s">
        <v>56</v>
      </c>
      <c r="L2" s="443"/>
      <c r="M2" s="443"/>
      <c r="N2" s="48"/>
      <c r="O2" s="444" t="s">
        <v>76</v>
      </c>
      <c r="P2" s="444"/>
      <c r="Q2" s="444"/>
      <c r="R2" s="444"/>
      <c r="S2" s="444"/>
      <c r="T2" s="444"/>
      <c r="U2" s="444"/>
      <c r="V2" s="48"/>
      <c r="W2" s="443" t="s">
        <v>57</v>
      </c>
      <c r="X2" s="443"/>
      <c r="Y2" s="443"/>
      <c r="Z2" s="48"/>
      <c r="AA2" s="443" t="s">
        <v>58</v>
      </c>
      <c r="AB2" s="443"/>
      <c r="AC2" s="443"/>
      <c r="AD2" s="48"/>
      <c r="AE2" s="443" t="s">
        <v>59</v>
      </c>
      <c r="AF2" s="443"/>
      <c r="AG2" s="443"/>
      <c r="AH2" s="48"/>
      <c r="AI2" s="443" t="s">
        <v>60</v>
      </c>
      <c r="AJ2" s="443"/>
      <c r="AK2" s="443"/>
      <c r="AL2" s="48"/>
      <c r="AM2" s="443" t="s">
        <v>61</v>
      </c>
      <c r="AN2" s="443"/>
      <c r="AO2" s="443"/>
      <c r="AP2" s="48"/>
      <c r="AQ2" s="443" t="s">
        <v>62</v>
      </c>
      <c r="AR2" s="443"/>
      <c r="AS2" s="443"/>
      <c r="AT2" s="46"/>
      <c r="AU2" s="46"/>
    </row>
    <row r="3" spans="1:47" ht="15" hidden="1">
      <c r="A3" s="52" t="s">
        <v>21</v>
      </c>
      <c r="B3" s="53"/>
      <c r="C3" s="53"/>
      <c r="D3" s="53"/>
      <c r="E3" s="53"/>
      <c r="F3" s="461" t="str">
        <f>'Control-NoIsE Factors &amp; Levels'!$C$4</f>
        <v>empty</v>
      </c>
      <c r="G3" s="461"/>
      <c r="H3" s="53"/>
      <c r="I3" s="53"/>
      <c r="J3" s="53"/>
      <c r="K3" s="461" t="str">
        <f>'Control-NoIsE Factors &amp; Levels'!$C$5</f>
        <v>Temperature</v>
      </c>
      <c r="L3" s="461"/>
      <c r="M3" s="461"/>
      <c r="N3" s="53"/>
      <c r="O3" s="54" t="s">
        <v>64</v>
      </c>
      <c r="P3" s="54" t="s">
        <v>65</v>
      </c>
      <c r="Q3" s="54" t="s">
        <v>66</v>
      </c>
      <c r="R3" s="54"/>
      <c r="S3" s="54" t="s">
        <v>67</v>
      </c>
      <c r="T3" s="54" t="s">
        <v>68</v>
      </c>
      <c r="U3" s="54" t="s">
        <v>69</v>
      </c>
      <c r="V3" s="53"/>
      <c r="W3" s="461" t="str">
        <f>'Control-NoIsE Factors &amp; Levels'!$C$6</f>
        <v>Pressure</v>
      </c>
      <c r="X3" s="461"/>
      <c r="Y3" s="461"/>
      <c r="Z3" s="53"/>
      <c r="AA3" s="461" t="str">
        <f>'Control-NoIsE Factors &amp; Levels'!$C$7</f>
        <v>Nitrogen</v>
      </c>
      <c r="AB3" s="461"/>
      <c r="AC3" s="461"/>
      <c r="AD3" s="53"/>
      <c r="AE3" s="461" t="str">
        <f>'Control-NoIsE Factors &amp; Levels'!$C$8</f>
        <v>Silane</v>
      </c>
      <c r="AF3" s="461"/>
      <c r="AG3" s="461"/>
      <c r="AH3" s="53"/>
      <c r="AI3" s="461" t="str">
        <f>'Control-NoIsE Factors &amp; Levels'!$C$9</f>
        <v>Initial Settling time</v>
      </c>
      <c r="AJ3" s="461"/>
      <c r="AK3" s="461"/>
      <c r="AL3" s="53"/>
      <c r="AM3" s="461" t="str">
        <f>'Control-NoIsE Factors &amp; Levels'!$C$10</f>
        <v>-</v>
      </c>
      <c r="AN3" s="461"/>
      <c r="AO3" s="461"/>
      <c r="AP3" s="53"/>
      <c r="AQ3" s="461" t="str">
        <f>'Control-NoIsE Factors &amp; Levels'!$C$11</f>
        <v>Cleaning Method</v>
      </c>
      <c r="AR3" s="461"/>
      <c r="AS3" s="461"/>
      <c r="AT3" s="46" t="s">
        <v>10</v>
      </c>
      <c r="AU3" s="46"/>
    </row>
    <row r="4" spans="1:47" ht="15" hidden="1">
      <c r="A4" s="55"/>
      <c r="B4" s="49" t="str">
        <f>'Copy Data &amp; calc S-N Ratio QC-B'!Z4</f>
        <v>SN Ratio (smaller-the-Better)</v>
      </c>
      <c r="C4" s="49"/>
      <c r="D4" s="49" t="s">
        <v>33</v>
      </c>
      <c r="E4" s="49"/>
      <c r="F4" s="53" t="str">
        <f>'Control-NoIsE Factors &amp; Levels'!$D$4</f>
        <v>empty</v>
      </c>
      <c r="G4" s="53" t="str">
        <f>'Control-NoIsE Factors &amp; Levels'!$E$4</f>
        <v>empty</v>
      </c>
      <c r="H4" s="53"/>
      <c r="I4" s="53"/>
      <c r="J4" s="53"/>
      <c r="K4" s="53" t="str">
        <f>'Control-NoIsE Factors &amp; Levels'!$D$5</f>
        <v>T1</v>
      </c>
      <c r="L4" s="53" t="str">
        <f>'Control-NoIsE Factors &amp; Levels'!$E$5</f>
        <v>T2</v>
      </c>
      <c r="M4" s="53" t="str">
        <f>'Control-NoIsE Factors &amp; Levels'!$F$5</f>
        <v>T3</v>
      </c>
      <c r="N4" s="53"/>
      <c r="O4" s="54" t="s">
        <v>70</v>
      </c>
      <c r="P4" s="54" t="s">
        <v>71</v>
      </c>
      <c r="Q4" s="54" t="s">
        <v>72</v>
      </c>
      <c r="R4" s="54"/>
      <c r="S4" s="54" t="s">
        <v>73</v>
      </c>
      <c r="T4" s="54" t="s">
        <v>74</v>
      </c>
      <c r="U4" s="54" t="s">
        <v>75</v>
      </c>
      <c r="V4" s="53"/>
      <c r="W4" s="53" t="str">
        <f>'Control-NoIsE Factors &amp; Levels'!$D$6</f>
        <v>P1</v>
      </c>
      <c r="X4" s="53" t="str">
        <f>'Control-NoIsE Factors &amp; Levels'!$E$6</f>
        <v>P2</v>
      </c>
      <c r="Y4" s="53" t="str">
        <f>'Control-NoIsE Factors &amp; Levels'!$F$6</f>
        <v>P3</v>
      </c>
      <c r="Z4" s="53"/>
      <c r="AA4" s="53" t="str">
        <f>'Control-NoIsE Factors &amp; Levels'!$D$7</f>
        <v>N1</v>
      </c>
      <c r="AB4" s="53" t="str">
        <f>'Control-NoIsE Factors &amp; Levels'!$E$7</f>
        <v>N2</v>
      </c>
      <c r="AC4" s="53" t="str">
        <f>'Control-NoIsE Factors &amp; Levels'!$F$7</f>
        <v>N3</v>
      </c>
      <c r="AD4" s="53"/>
      <c r="AE4" s="53" t="str">
        <f>'Control-NoIsE Factors &amp; Levels'!$D$8</f>
        <v>S1</v>
      </c>
      <c r="AF4" s="53" t="str">
        <f>'Control-NoIsE Factors &amp; Levels'!$E$8</f>
        <v>S2</v>
      </c>
      <c r="AG4" s="53" t="str">
        <f>'Control-NoIsE Factors &amp; Levels'!$F$8</f>
        <v>S3</v>
      </c>
      <c r="AH4" s="53"/>
      <c r="AI4" s="53" t="str">
        <f>'Control-NoIsE Factors &amp; Levels'!$D$9</f>
        <v>I1</v>
      </c>
      <c r="AJ4" s="53" t="str">
        <f>'Control-NoIsE Factors &amp; Levels'!$E$9</f>
        <v>I2</v>
      </c>
      <c r="AK4" s="53" t="str">
        <f>'Control-NoIsE Factors &amp; Levels'!$F$9</f>
        <v>I3</v>
      </c>
      <c r="AL4" s="53"/>
      <c r="AM4" s="53" t="str">
        <f>'Control-NoIsE Factors &amp; Levels'!$D$10</f>
        <v>-</v>
      </c>
      <c r="AN4" s="53" t="str">
        <f>'Control-NoIsE Factors &amp; Levels'!$E$10</f>
        <v>-</v>
      </c>
      <c r="AO4" s="53" t="str">
        <f>'Control-NoIsE Factors &amp; Levels'!$F$10</f>
        <v>-</v>
      </c>
      <c r="AP4" s="53"/>
      <c r="AQ4" s="53" t="str">
        <f>'Control-NoIsE Factors &amp; Levels'!$D$11</f>
        <v>C1</v>
      </c>
      <c r="AR4" s="53" t="str">
        <f>'Control-NoIsE Factors &amp; Levels'!$E$11</f>
        <v>C2</v>
      </c>
      <c r="AS4" s="53" t="str">
        <f>'Control-NoIsE Factors &amp; Levels'!$F$11</f>
        <v>C3</v>
      </c>
      <c r="AT4" s="46"/>
      <c r="AU4" s="56" t="s">
        <v>78</v>
      </c>
    </row>
    <row r="5" spans="1:47" ht="12.75" hidden="1">
      <c r="A5" s="57">
        <v>1</v>
      </c>
      <c r="B5" s="58">
        <f>'Copy Data &amp; calc S-N Ratio QC-B'!Z5</f>
        <v>0.5115252244738131</v>
      </c>
      <c r="C5" s="58"/>
      <c r="D5" s="58"/>
      <c r="E5" s="58"/>
      <c r="F5" s="58">
        <f>B5</f>
        <v>0.5115252244738131</v>
      </c>
      <c r="G5" s="59"/>
      <c r="H5" s="59"/>
      <c r="I5" s="58"/>
      <c r="J5" s="59"/>
      <c r="K5" s="59">
        <f>B5</f>
        <v>0.5115252244738131</v>
      </c>
      <c r="L5" s="59"/>
      <c r="M5" s="59"/>
      <c r="N5" s="59"/>
      <c r="O5" s="60">
        <f>B5</f>
        <v>0.5115252244738131</v>
      </c>
      <c r="P5" s="60"/>
      <c r="Q5" s="60"/>
      <c r="R5" s="60"/>
      <c r="S5" s="60"/>
      <c r="T5" s="60"/>
      <c r="U5" s="60"/>
      <c r="V5" s="58"/>
      <c r="W5" s="59">
        <f>B5</f>
        <v>0.5115252244738131</v>
      </c>
      <c r="X5" s="59"/>
      <c r="Y5" s="59"/>
      <c r="Z5" s="59"/>
      <c r="AA5" s="59">
        <f>B5</f>
        <v>0.5115252244738131</v>
      </c>
      <c r="AB5" s="59"/>
      <c r="AC5" s="59"/>
      <c r="AD5" s="59"/>
      <c r="AE5" s="59">
        <f>B5</f>
        <v>0.5115252244738131</v>
      </c>
      <c r="AF5" s="59"/>
      <c r="AG5" s="59"/>
      <c r="AH5" s="59"/>
      <c r="AI5" s="59">
        <f>B5</f>
        <v>0.5115252244738131</v>
      </c>
      <c r="AJ5" s="59"/>
      <c r="AK5" s="59"/>
      <c r="AL5" s="59"/>
      <c r="AM5" s="59">
        <f>B5</f>
        <v>0.5115252244738131</v>
      </c>
      <c r="AN5" s="59"/>
      <c r="AO5" s="59"/>
      <c r="AP5" s="59"/>
      <c r="AQ5" s="59">
        <f>B5</f>
        <v>0.5115252244738131</v>
      </c>
      <c r="AR5" s="59"/>
      <c r="AS5" s="59"/>
      <c r="AT5" s="46"/>
      <c r="AU5" s="46"/>
    </row>
    <row r="6" spans="1:47" ht="12.75" hidden="1">
      <c r="A6" s="57">
        <v>2</v>
      </c>
      <c r="B6" s="58">
        <f>'Copy Data &amp; calc S-N Ratio QC-B'!Z6</f>
        <v>-37.30423354586536</v>
      </c>
      <c r="C6" s="58"/>
      <c r="D6" s="58"/>
      <c r="E6" s="58"/>
      <c r="F6" s="58">
        <f aca="true" t="shared" si="0" ref="F6:F13">B6</f>
        <v>-37.30423354586536</v>
      </c>
      <c r="G6" s="59"/>
      <c r="H6" s="59"/>
      <c r="I6" s="58"/>
      <c r="J6" s="59"/>
      <c r="K6" s="59">
        <f>B6</f>
        <v>-37.30423354586536</v>
      </c>
      <c r="L6" s="59"/>
      <c r="M6" s="59"/>
      <c r="N6" s="59"/>
      <c r="O6" s="60">
        <f>B6</f>
        <v>-37.30423354586536</v>
      </c>
      <c r="P6" s="60"/>
      <c r="Q6" s="60"/>
      <c r="R6" s="60"/>
      <c r="S6" s="60"/>
      <c r="T6" s="60"/>
      <c r="U6" s="60"/>
      <c r="V6" s="58"/>
      <c r="W6" s="59"/>
      <c r="X6" s="59">
        <f>B6</f>
        <v>-37.30423354586536</v>
      </c>
      <c r="Y6" s="59"/>
      <c r="Z6" s="59"/>
      <c r="AA6" s="59"/>
      <c r="AB6" s="59">
        <f>B6</f>
        <v>-37.30423354586536</v>
      </c>
      <c r="AC6" s="59"/>
      <c r="AD6" s="59"/>
      <c r="AE6" s="59"/>
      <c r="AF6" s="59">
        <f>B6</f>
        <v>-37.30423354586536</v>
      </c>
      <c r="AG6" s="59"/>
      <c r="AH6" s="59"/>
      <c r="AI6" s="59"/>
      <c r="AJ6" s="59">
        <f>B6</f>
        <v>-37.30423354586536</v>
      </c>
      <c r="AK6" s="59"/>
      <c r="AL6" s="59"/>
      <c r="AM6" s="59"/>
      <c r="AN6" s="59">
        <f>B6</f>
        <v>-37.30423354586536</v>
      </c>
      <c r="AO6" s="59"/>
      <c r="AP6" s="59"/>
      <c r="AQ6" s="59"/>
      <c r="AR6" s="59">
        <f>B6</f>
        <v>-37.30423354586536</v>
      </c>
      <c r="AS6" s="59"/>
      <c r="AT6" s="46"/>
      <c r="AU6" s="46"/>
    </row>
    <row r="7" spans="1:47" ht="12.75" hidden="1">
      <c r="A7" s="57">
        <v>3</v>
      </c>
      <c r="B7" s="58">
        <f>'Copy Data &amp; calc S-N Ratio QC-B'!Z7</f>
        <v>-45.16849615057233</v>
      </c>
      <c r="C7" s="58"/>
      <c r="D7" s="58"/>
      <c r="E7" s="58"/>
      <c r="F7" s="58">
        <f t="shared" si="0"/>
        <v>-45.16849615057233</v>
      </c>
      <c r="G7" s="59"/>
      <c r="H7" s="59"/>
      <c r="I7" s="58"/>
      <c r="J7" s="59"/>
      <c r="K7" s="59">
        <f>B7</f>
        <v>-45.16849615057233</v>
      </c>
      <c r="L7" s="59"/>
      <c r="M7" s="59"/>
      <c r="N7" s="59"/>
      <c r="O7" s="60">
        <f>B7</f>
        <v>-45.16849615057233</v>
      </c>
      <c r="P7" s="60"/>
      <c r="Q7" s="60"/>
      <c r="R7" s="60"/>
      <c r="S7" s="60"/>
      <c r="T7" s="60"/>
      <c r="U7" s="60"/>
      <c r="V7" s="58"/>
      <c r="W7" s="59"/>
      <c r="X7" s="59"/>
      <c r="Y7" s="59">
        <f>B7</f>
        <v>-45.16849615057233</v>
      </c>
      <c r="Z7" s="59"/>
      <c r="AA7" s="59"/>
      <c r="AB7" s="59"/>
      <c r="AC7" s="59">
        <f>B7</f>
        <v>-45.16849615057233</v>
      </c>
      <c r="AD7" s="59"/>
      <c r="AE7" s="59"/>
      <c r="AF7" s="59"/>
      <c r="AG7" s="59">
        <f>B7</f>
        <v>-45.16849615057233</v>
      </c>
      <c r="AH7" s="59"/>
      <c r="AI7" s="59"/>
      <c r="AJ7" s="59"/>
      <c r="AK7" s="59">
        <f>B7</f>
        <v>-45.16849615057233</v>
      </c>
      <c r="AL7" s="59"/>
      <c r="AM7" s="59"/>
      <c r="AN7" s="59"/>
      <c r="AO7" s="59">
        <f>B7</f>
        <v>-45.16849615057233</v>
      </c>
      <c r="AP7" s="59"/>
      <c r="AQ7" s="59"/>
      <c r="AR7" s="59"/>
      <c r="AS7" s="59">
        <f>B7</f>
        <v>-45.16849615057233</v>
      </c>
      <c r="AT7" s="46"/>
      <c r="AU7" s="46"/>
    </row>
    <row r="8" spans="1:47" ht="12.75" hidden="1">
      <c r="A8" s="57">
        <v>4</v>
      </c>
      <c r="B8" s="58">
        <f>'Copy Data &amp; calc S-N Ratio QC-B'!Z8</f>
        <v>-25.760852803387614</v>
      </c>
      <c r="C8" s="58"/>
      <c r="D8" s="58"/>
      <c r="E8" s="58"/>
      <c r="F8" s="58">
        <f t="shared" si="0"/>
        <v>-25.760852803387614</v>
      </c>
      <c r="G8" s="59"/>
      <c r="H8" s="59"/>
      <c r="I8" s="58"/>
      <c r="J8" s="59"/>
      <c r="K8" s="59"/>
      <c r="L8" s="59">
        <f>B8</f>
        <v>-25.760852803387614</v>
      </c>
      <c r="M8" s="59"/>
      <c r="N8" s="59"/>
      <c r="O8" s="60"/>
      <c r="P8" s="60">
        <f>B8</f>
        <v>-25.760852803387614</v>
      </c>
      <c r="Q8" s="60"/>
      <c r="R8" s="60"/>
      <c r="S8" s="60"/>
      <c r="T8" s="60"/>
      <c r="U8" s="60"/>
      <c r="V8" s="58"/>
      <c r="W8" s="59">
        <f>B8</f>
        <v>-25.760852803387614</v>
      </c>
      <c r="X8" s="59"/>
      <c r="Y8" s="59"/>
      <c r="Z8" s="59"/>
      <c r="AA8" s="59">
        <f>B8</f>
        <v>-25.760852803387614</v>
      </c>
      <c r="AB8" s="59"/>
      <c r="AC8" s="59"/>
      <c r="AD8" s="59"/>
      <c r="AE8" s="59"/>
      <c r="AF8" s="59">
        <f>B8</f>
        <v>-25.760852803387614</v>
      </c>
      <c r="AG8" s="59"/>
      <c r="AH8" s="59"/>
      <c r="AI8" s="59"/>
      <c r="AJ8" s="59">
        <f>B8</f>
        <v>-25.760852803387614</v>
      </c>
      <c r="AK8" s="59"/>
      <c r="AL8" s="59"/>
      <c r="AM8" s="59"/>
      <c r="AN8" s="59"/>
      <c r="AO8" s="59">
        <f>B8</f>
        <v>-25.760852803387614</v>
      </c>
      <c r="AP8" s="59"/>
      <c r="AQ8" s="59"/>
      <c r="AR8" s="59"/>
      <c r="AS8" s="59">
        <f>B8</f>
        <v>-25.760852803387614</v>
      </c>
      <c r="AT8" s="46"/>
      <c r="AU8" s="46"/>
    </row>
    <row r="9" spans="1:47" ht="12.75" hidden="1">
      <c r="A9" s="57">
        <v>5</v>
      </c>
      <c r="B9" s="58">
        <f>'Copy Data &amp; calc S-N Ratio QC-B'!Z9</f>
        <v>-62.537205641812605</v>
      </c>
      <c r="C9" s="58"/>
      <c r="D9" s="58"/>
      <c r="E9" s="58"/>
      <c r="F9" s="58">
        <f t="shared" si="0"/>
        <v>-62.537205641812605</v>
      </c>
      <c r="G9" s="59"/>
      <c r="H9" s="59"/>
      <c r="I9" s="58"/>
      <c r="J9" s="59"/>
      <c r="K9" s="59"/>
      <c r="L9" s="59">
        <f>B9</f>
        <v>-62.537205641812605</v>
      </c>
      <c r="M9" s="59"/>
      <c r="N9" s="59"/>
      <c r="O9" s="60"/>
      <c r="P9" s="60">
        <f>B9</f>
        <v>-62.537205641812605</v>
      </c>
      <c r="Q9" s="60"/>
      <c r="R9" s="60"/>
      <c r="S9" s="60"/>
      <c r="T9" s="60"/>
      <c r="U9" s="60"/>
      <c r="V9" s="58"/>
      <c r="W9" s="59"/>
      <c r="X9" s="59">
        <f>B9</f>
        <v>-62.537205641812605</v>
      </c>
      <c r="Y9" s="59"/>
      <c r="Z9" s="59"/>
      <c r="AA9" s="59"/>
      <c r="AB9" s="59">
        <f>B9</f>
        <v>-62.537205641812605</v>
      </c>
      <c r="AC9" s="59"/>
      <c r="AD9" s="59"/>
      <c r="AE9" s="59"/>
      <c r="AF9" s="59"/>
      <c r="AG9" s="59">
        <f>B9</f>
        <v>-62.537205641812605</v>
      </c>
      <c r="AH9" s="59"/>
      <c r="AI9" s="59"/>
      <c r="AJ9" s="59"/>
      <c r="AK9" s="59">
        <f>B9</f>
        <v>-62.537205641812605</v>
      </c>
      <c r="AL9" s="59"/>
      <c r="AM9" s="59">
        <f>B9</f>
        <v>-62.537205641812605</v>
      </c>
      <c r="AN9" s="59"/>
      <c r="AO9" s="59"/>
      <c r="AP9" s="59"/>
      <c r="AQ9" s="59">
        <f>B9</f>
        <v>-62.537205641812605</v>
      </c>
      <c r="AR9" s="59"/>
      <c r="AS9" s="59"/>
      <c r="AT9" s="46"/>
      <c r="AU9" s="46"/>
    </row>
    <row r="10" spans="1:47" ht="12.75" hidden="1">
      <c r="A10" s="57">
        <v>6</v>
      </c>
      <c r="B10" s="58">
        <f>'Copy Data &amp; calc S-N Ratio QC-B'!Z10</f>
        <v>-62.23123788734229</v>
      </c>
      <c r="C10" s="58"/>
      <c r="D10" s="58"/>
      <c r="E10" s="58"/>
      <c r="F10" s="58">
        <f t="shared" si="0"/>
        <v>-62.23123788734229</v>
      </c>
      <c r="G10" s="59"/>
      <c r="H10" s="59"/>
      <c r="I10" s="58"/>
      <c r="J10" s="59"/>
      <c r="K10" s="59"/>
      <c r="L10" s="59">
        <f>B10</f>
        <v>-62.23123788734229</v>
      </c>
      <c r="M10" s="59"/>
      <c r="N10" s="59"/>
      <c r="O10" s="60"/>
      <c r="P10" s="60">
        <f>B10</f>
        <v>-62.23123788734229</v>
      </c>
      <c r="Q10" s="60"/>
      <c r="R10" s="60"/>
      <c r="S10" s="60"/>
      <c r="T10" s="60"/>
      <c r="U10" s="60"/>
      <c r="V10" s="58"/>
      <c r="W10" s="59"/>
      <c r="X10" s="59"/>
      <c r="Y10" s="59">
        <f>B10</f>
        <v>-62.23123788734229</v>
      </c>
      <c r="Z10" s="59"/>
      <c r="AA10" s="59"/>
      <c r="AB10" s="59"/>
      <c r="AC10" s="59">
        <f>B10</f>
        <v>-62.23123788734229</v>
      </c>
      <c r="AD10" s="59"/>
      <c r="AE10" s="59">
        <f>B10</f>
        <v>-62.23123788734229</v>
      </c>
      <c r="AF10" s="59"/>
      <c r="AG10" s="59"/>
      <c r="AH10" s="59"/>
      <c r="AI10" s="59">
        <f>B10</f>
        <v>-62.23123788734229</v>
      </c>
      <c r="AJ10" s="59"/>
      <c r="AK10" s="59"/>
      <c r="AL10" s="59"/>
      <c r="AM10" s="59"/>
      <c r="AN10" s="59">
        <f>B10</f>
        <v>-62.23123788734229</v>
      </c>
      <c r="AO10" s="59"/>
      <c r="AP10" s="59"/>
      <c r="AQ10" s="59"/>
      <c r="AR10" s="59">
        <f>B10</f>
        <v>-62.23123788734229</v>
      </c>
      <c r="AS10" s="59"/>
      <c r="AT10" s="46"/>
      <c r="AU10" s="46"/>
    </row>
    <row r="11" spans="1:47" ht="12.75" hidden="1">
      <c r="A11" s="57">
        <v>7</v>
      </c>
      <c r="B11" s="58">
        <f>'Copy Data &amp; calc S-N Ratio QC-B'!Z11</f>
        <v>-59.88189158697304</v>
      </c>
      <c r="C11" s="58"/>
      <c r="D11" s="58"/>
      <c r="E11" s="58"/>
      <c r="F11" s="58">
        <f t="shared" si="0"/>
        <v>-59.88189158697304</v>
      </c>
      <c r="G11" s="59"/>
      <c r="H11" s="59"/>
      <c r="I11" s="58"/>
      <c r="J11" s="59"/>
      <c r="K11" s="59"/>
      <c r="L11" s="59"/>
      <c r="M11" s="59">
        <f>B11</f>
        <v>-59.88189158697304</v>
      </c>
      <c r="N11" s="59"/>
      <c r="O11" s="60"/>
      <c r="P11" s="60"/>
      <c r="Q11" s="60">
        <f>B11</f>
        <v>-59.88189158697304</v>
      </c>
      <c r="R11" s="60"/>
      <c r="S11" s="60"/>
      <c r="T11" s="60"/>
      <c r="U11" s="60"/>
      <c r="V11" s="58"/>
      <c r="W11" s="59">
        <f>B11</f>
        <v>-59.88189158697304</v>
      </c>
      <c r="X11" s="59"/>
      <c r="Y11" s="59"/>
      <c r="Z11" s="59"/>
      <c r="AA11" s="59"/>
      <c r="AB11" s="59">
        <f>B11</f>
        <v>-59.88189158697304</v>
      </c>
      <c r="AC11" s="59"/>
      <c r="AD11" s="59"/>
      <c r="AE11" s="59">
        <f>B11</f>
        <v>-59.88189158697304</v>
      </c>
      <c r="AF11" s="59"/>
      <c r="AG11" s="59"/>
      <c r="AH11" s="59"/>
      <c r="AI11" s="59"/>
      <c r="AJ11" s="59"/>
      <c r="AK11" s="59">
        <f>B11</f>
        <v>-59.88189158697304</v>
      </c>
      <c r="AL11" s="59"/>
      <c r="AM11" s="59"/>
      <c r="AN11" s="59">
        <f>B11</f>
        <v>-59.88189158697304</v>
      </c>
      <c r="AO11" s="59"/>
      <c r="AP11" s="59"/>
      <c r="AQ11" s="59"/>
      <c r="AR11" s="59"/>
      <c r="AS11" s="59">
        <f>B11</f>
        <v>-59.88189158697304</v>
      </c>
      <c r="AT11" s="46"/>
      <c r="AU11" s="46"/>
    </row>
    <row r="12" spans="1:47" ht="12.75" hidden="1">
      <c r="A12" s="57">
        <v>8</v>
      </c>
      <c r="B12" s="58">
        <f>'Copy Data &amp; calc S-N Ratio QC-B'!Z12</f>
        <v>-71.68582697188404</v>
      </c>
      <c r="C12" s="58"/>
      <c r="D12" s="58"/>
      <c r="E12" s="58"/>
      <c r="F12" s="58">
        <f t="shared" si="0"/>
        <v>-71.68582697188404</v>
      </c>
      <c r="G12" s="59"/>
      <c r="H12" s="59"/>
      <c r="I12" s="58"/>
      <c r="J12" s="59"/>
      <c r="K12" s="59"/>
      <c r="L12" s="59"/>
      <c r="M12" s="59">
        <f>B12</f>
        <v>-71.68582697188404</v>
      </c>
      <c r="N12" s="59"/>
      <c r="O12" s="60"/>
      <c r="P12" s="60"/>
      <c r="Q12" s="60">
        <f>B12</f>
        <v>-71.68582697188404</v>
      </c>
      <c r="R12" s="60"/>
      <c r="S12" s="60"/>
      <c r="T12" s="60"/>
      <c r="U12" s="60"/>
      <c r="V12" s="58"/>
      <c r="W12" s="59"/>
      <c r="X12" s="59">
        <f>B12</f>
        <v>-71.68582697188404</v>
      </c>
      <c r="Y12" s="59"/>
      <c r="Z12" s="59"/>
      <c r="AA12" s="59"/>
      <c r="AB12" s="59"/>
      <c r="AC12" s="59">
        <f>B12</f>
        <v>-71.68582697188404</v>
      </c>
      <c r="AD12" s="59"/>
      <c r="AE12" s="59"/>
      <c r="AF12" s="59">
        <f>B12</f>
        <v>-71.68582697188404</v>
      </c>
      <c r="AG12" s="59"/>
      <c r="AH12" s="59"/>
      <c r="AI12" s="59">
        <f>B12</f>
        <v>-71.68582697188404</v>
      </c>
      <c r="AJ12" s="59"/>
      <c r="AK12" s="59"/>
      <c r="AL12" s="59"/>
      <c r="AM12" s="59"/>
      <c r="AN12" s="59"/>
      <c r="AO12" s="59">
        <f>B12</f>
        <v>-71.68582697188404</v>
      </c>
      <c r="AP12" s="59"/>
      <c r="AQ12" s="59">
        <f>B12</f>
        <v>-71.68582697188404</v>
      </c>
      <c r="AR12" s="59"/>
      <c r="AS12" s="59"/>
      <c r="AT12" s="46"/>
      <c r="AU12" s="46"/>
    </row>
    <row r="13" spans="1:47" ht="12.75" hidden="1">
      <c r="A13" s="57">
        <v>9</v>
      </c>
      <c r="B13" s="58">
        <f>'Copy Data &amp; calc S-N Ratio QC-B'!Z13</f>
        <v>-68.15430154616168</v>
      </c>
      <c r="C13" s="58"/>
      <c r="D13" s="58"/>
      <c r="E13" s="58"/>
      <c r="F13" s="58">
        <f t="shared" si="0"/>
        <v>-68.15430154616168</v>
      </c>
      <c r="G13" s="59"/>
      <c r="H13" s="59"/>
      <c r="I13" s="58"/>
      <c r="J13" s="59"/>
      <c r="K13" s="59"/>
      <c r="L13" s="59"/>
      <c r="M13" s="59">
        <f>B13</f>
        <v>-68.15430154616168</v>
      </c>
      <c r="N13" s="59"/>
      <c r="O13" s="60"/>
      <c r="P13" s="60"/>
      <c r="Q13" s="60">
        <f>B13</f>
        <v>-68.15430154616168</v>
      </c>
      <c r="R13" s="60"/>
      <c r="S13" s="60"/>
      <c r="T13" s="60"/>
      <c r="U13" s="60"/>
      <c r="V13" s="58"/>
      <c r="W13" s="59"/>
      <c r="X13" s="59"/>
      <c r="Y13" s="59">
        <f>B13</f>
        <v>-68.15430154616168</v>
      </c>
      <c r="Z13" s="59"/>
      <c r="AA13" s="59">
        <f>B13</f>
        <v>-68.15430154616168</v>
      </c>
      <c r="AB13" s="59"/>
      <c r="AC13" s="59"/>
      <c r="AD13" s="59"/>
      <c r="AE13" s="59"/>
      <c r="AF13" s="59"/>
      <c r="AG13" s="59">
        <f>B13</f>
        <v>-68.15430154616168</v>
      </c>
      <c r="AH13" s="59"/>
      <c r="AI13" s="59"/>
      <c r="AJ13" s="59">
        <f>B13</f>
        <v>-68.15430154616168</v>
      </c>
      <c r="AK13" s="59"/>
      <c r="AL13" s="59"/>
      <c r="AM13" s="59">
        <f>B13</f>
        <v>-68.15430154616168</v>
      </c>
      <c r="AN13" s="59"/>
      <c r="AO13" s="59"/>
      <c r="AP13" s="59"/>
      <c r="AQ13" s="59"/>
      <c r="AR13" s="59">
        <f>B13</f>
        <v>-68.15430154616168</v>
      </c>
      <c r="AS13" s="59"/>
      <c r="AT13" s="46"/>
      <c r="AU13" s="46"/>
    </row>
    <row r="14" spans="1:47" ht="12.75" hidden="1">
      <c r="A14" s="57">
        <v>10</v>
      </c>
      <c r="B14" s="58">
        <f>'Copy Data &amp; calc S-N Ratio QC-B'!Z14</f>
        <v>-3.467874862246563</v>
      </c>
      <c r="C14" s="58"/>
      <c r="D14" s="58"/>
      <c r="E14" s="58"/>
      <c r="F14" s="58"/>
      <c r="G14" s="59">
        <f aca="true" t="shared" si="1" ref="G14:G22">B14</f>
        <v>-3.467874862246563</v>
      </c>
      <c r="H14" s="59"/>
      <c r="I14" s="58"/>
      <c r="J14" s="59"/>
      <c r="K14" s="59">
        <f>B14</f>
        <v>-3.467874862246563</v>
      </c>
      <c r="L14" s="59"/>
      <c r="M14" s="59"/>
      <c r="N14" s="59"/>
      <c r="O14" s="60"/>
      <c r="P14" s="60"/>
      <c r="Q14" s="60"/>
      <c r="R14" s="60"/>
      <c r="S14" s="60">
        <f>B14</f>
        <v>-3.467874862246563</v>
      </c>
      <c r="T14" s="60"/>
      <c r="U14" s="60"/>
      <c r="V14" s="58"/>
      <c r="W14" s="59">
        <f>B14</f>
        <v>-3.467874862246563</v>
      </c>
      <c r="X14" s="59"/>
      <c r="Y14" s="59"/>
      <c r="Z14" s="59"/>
      <c r="AA14" s="59"/>
      <c r="AB14" s="59"/>
      <c r="AC14" s="59">
        <f>B14</f>
        <v>-3.467874862246563</v>
      </c>
      <c r="AD14" s="59"/>
      <c r="AE14" s="59"/>
      <c r="AF14" s="59"/>
      <c r="AG14" s="59">
        <f>B14</f>
        <v>-3.467874862246563</v>
      </c>
      <c r="AH14" s="59"/>
      <c r="AI14" s="59"/>
      <c r="AJ14" s="59">
        <f>B14</f>
        <v>-3.467874862246563</v>
      </c>
      <c r="AK14" s="59"/>
      <c r="AL14" s="59"/>
      <c r="AM14" s="59"/>
      <c r="AN14" s="59">
        <f>B14</f>
        <v>-3.467874862246563</v>
      </c>
      <c r="AO14" s="59"/>
      <c r="AP14" s="59"/>
      <c r="AQ14" s="59">
        <f>B14</f>
        <v>-3.467874862246563</v>
      </c>
      <c r="AR14" s="59"/>
      <c r="AS14" s="59"/>
      <c r="AT14" s="46"/>
      <c r="AU14" s="46"/>
    </row>
    <row r="15" spans="1:47" ht="12.75" hidden="1">
      <c r="A15" s="57">
        <v>11</v>
      </c>
      <c r="B15" s="58">
        <f>'Copy Data &amp; calc S-N Ratio QC-B'!Z15</f>
        <v>-5.081554884596312</v>
      </c>
      <c r="C15" s="58"/>
      <c r="D15" s="58"/>
      <c r="E15" s="58"/>
      <c r="F15" s="58"/>
      <c r="G15" s="59">
        <f t="shared" si="1"/>
        <v>-5.081554884596312</v>
      </c>
      <c r="H15" s="59"/>
      <c r="I15" s="58"/>
      <c r="J15" s="59"/>
      <c r="K15" s="59">
        <f>B15</f>
        <v>-5.081554884596312</v>
      </c>
      <c r="L15" s="59"/>
      <c r="M15" s="59"/>
      <c r="N15" s="59"/>
      <c r="O15" s="60"/>
      <c r="P15" s="60"/>
      <c r="Q15" s="60"/>
      <c r="R15" s="60"/>
      <c r="S15" s="60">
        <f>B15</f>
        <v>-5.081554884596312</v>
      </c>
      <c r="T15" s="60"/>
      <c r="U15" s="60"/>
      <c r="V15" s="58"/>
      <c r="W15" s="59"/>
      <c r="X15" s="59">
        <f>B15</f>
        <v>-5.081554884596312</v>
      </c>
      <c r="Y15" s="59"/>
      <c r="Z15" s="59"/>
      <c r="AA15" s="59">
        <f>B15</f>
        <v>-5.081554884596312</v>
      </c>
      <c r="AB15" s="59"/>
      <c r="AC15" s="59"/>
      <c r="AD15" s="59"/>
      <c r="AE15" s="59">
        <f>B15</f>
        <v>-5.081554884596312</v>
      </c>
      <c r="AF15" s="59"/>
      <c r="AG15" s="59"/>
      <c r="AH15" s="59"/>
      <c r="AI15" s="59"/>
      <c r="AJ15" s="59"/>
      <c r="AK15" s="59">
        <f>B15</f>
        <v>-5.081554884596312</v>
      </c>
      <c r="AL15" s="59"/>
      <c r="AM15" s="59"/>
      <c r="AN15" s="59"/>
      <c r="AO15" s="59">
        <f>B15</f>
        <v>-5.081554884596312</v>
      </c>
      <c r="AP15" s="59"/>
      <c r="AQ15" s="59"/>
      <c r="AR15" s="59">
        <f>B15</f>
        <v>-5.081554884596312</v>
      </c>
      <c r="AS15" s="59"/>
      <c r="AT15" s="46"/>
      <c r="AU15" s="46"/>
    </row>
    <row r="16" spans="1:47" ht="12.75" hidden="1">
      <c r="A16" s="57">
        <v>12</v>
      </c>
      <c r="B16" s="58">
        <f>'Copy Data &amp; calc S-N Ratio QC-B'!Z16</f>
        <v>-54.85434167284093</v>
      </c>
      <c r="C16" s="58"/>
      <c r="D16" s="58"/>
      <c r="E16" s="58"/>
      <c r="F16" s="58"/>
      <c r="G16" s="59">
        <f t="shared" si="1"/>
        <v>-54.85434167284093</v>
      </c>
      <c r="H16" s="59"/>
      <c r="I16" s="58"/>
      <c r="J16" s="59"/>
      <c r="K16" s="59">
        <f>B16</f>
        <v>-54.85434167284093</v>
      </c>
      <c r="L16" s="59"/>
      <c r="M16" s="59"/>
      <c r="N16" s="59"/>
      <c r="O16" s="60"/>
      <c r="P16" s="60"/>
      <c r="Q16" s="60"/>
      <c r="R16" s="60"/>
      <c r="S16" s="60">
        <f>B16</f>
        <v>-54.85434167284093</v>
      </c>
      <c r="T16" s="60"/>
      <c r="U16" s="60"/>
      <c r="V16" s="58"/>
      <c r="W16" s="59"/>
      <c r="X16" s="59"/>
      <c r="Y16" s="59">
        <f>B16</f>
        <v>-54.85434167284093</v>
      </c>
      <c r="Z16" s="59"/>
      <c r="AA16" s="59"/>
      <c r="AB16" s="59">
        <f>B16</f>
        <v>-54.85434167284093</v>
      </c>
      <c r="AC16" s="59"/>
      <c r="AD16" s="59"/>
      <c r="AE16" s="59"/>
      <c r="AF16" s="59">
        <f>B16</f>
        <v>-54.85434167284093</v>
      </c>
      <c r="AG16" s="59"/>
      <c r="AH16" s="59"/>
      <c r="AI16" s="59">
        <f>B16</f>
        <v>-54.85434167284093</v>
      </c>
      <c r="AJ16" s="59"/>
      <c r="AK16" s="59"/>
      <c r="AL16" s="59"/>
      <c r="AM16" s="59">
        <f>B16</f>
        <v>-54.85434167284093</v>
      </c>
      <c r="AN16" s="59"/>
      <c r="AO16" s="59"/>
      <c r="AP16" s="59"/>
      <c r="AQ16" s="59"/>
      <c r="AR16" s="59"/>
      <c r="AS16" s="59">
        <f>B16</f>
        <v>-54.85434167284093</v>
      </c>
      <c r="AT16" s="46"/>
      <c r="AU16" s="46"/>
    </row>
    <row r="17" spans="1:47" ht="12.75" hidden="1">
      <c r="A17" s="57">
        <v>13</v>
      </c>
      <c r="B17" s="58">
        <f>'Copy Data &amp; calc S-N Ratio QC-B'!Z17</f>
        <v>-49.381398571849786</v>
      </c>
      <c r="C17" s="58"/>
      <c r="D17" s="58"/>
      <c r="E17" s="58"/>
      <c r="F17" s="58"/>
      <c r="G17" s="59">
        <f t="shared" si="1"/>
        <v>-49.381398571849786</v>
      </c>
      <c r="H17" s="59"/>
      <c r="I17" s="58"/>
      <c r="J17" s="59"/>
      <c r="K17" s="59"/>
      <c r="L17" s="59">
        <f>B17</f>
        <v>-49.381398571849786</v>
      </c>
      <c r="M17" s="59"/>
      <c r="N17" s="59"/>
      <c r="O17" s="60"/>
      <c r="P17" s="60"/>
      <c r="Q17" s="60"/>
      <c r="R17" s="60"/>
      <c r="S17" s="60"/>
      <c r="T17" s="60">
        <f>B17</f>
        <v>-49.381398571849786</v>
      </c>
      <c r="U17" s="60"/>
      <c r="V17" s="58"/>
      <c r="W17" s="59">
        <f>B17</f>
        <v>-49.381398571849786</v>
      </c>
      <c r="X17" s="59"/>
      <c r="Y17" s="59"/>
      <c r="Z17" s="59"/>
      <c r="AA17" s="59"/>
      <c r="AB17" s="59">
        <f>B17</f>
        <v>-49.381398571849786</v>
      </c>
      <c r="AC17" s="59"/>
      <c r="AD17" s="59"/>
      <c r="AE17" s="59"/>
      <c r="AF17" s="59"/>
      <c r="AG17" s="59">
        <f>B17</f>
        <v>-49.381398571849786</v>
      </c>
      <c r="AH17" s="59"/>
      <c r="AI17" s="59">
        <f>B17</f>
        <v>-49.381398571849786</v>
      </c>
      <c r="AJ17" s="59"/>
      <c r="AK17" s="59"/>
      <c r="AL17" s="59"/>
      <c r="AM17" s="59"/>
      <c r="AN17" s="59"/>
      <c r="AO17" s="59">
        <f>B17</f>
        <v>-49.381398571849786</v>
      </c>
      <c r="AP17" s="59"/>
      <c r="AQ17" s="59"/>
      <c r="AR17" s="59">
        <f>B17</f>
        <v>-49.381398571849786</v>
      </c>
      <c r="AS17" s="59"/>
      <c r="AT17" s="46"/>
      <c r="AU17" s="46"/>
    </row>
    <row r="18" spans="1:47" ht="12.75" hidden="1">
      <c r="A18" s="57">
        <v>14</v>
      </c>
      <c r="B18" s="58">
        <f>'Copy Data &amp; calc S-N Ratio QC-B'!Z18</f>
        <v>-36.53705506601955</v>
      </c>
      <c r="C18" s="58"/>
      <c r="D18" s="58"/>
      <c r="E18" s="58"/>
      <c r="F18" s="58"/>
      <c r="G18" s="59">
        <f t="shared" si="1"/>
        <v>-36.53705506601955</v>
      </c>
      <c r="H18" s="59"/>
      <c r="I18" s="58"/>
      <c r="J18" s="59"/>
      <c r="K18" s="59"/>
      <c r="L18" s="59">
        <f>B18</f>
        <v>-36.53705506601955</v>
      </c>
      <c r="M18" s="59"/>
      <c r="N18" s="59"/>
      <c r="O18" s="60"/>
      <c r="P18" s="60"/>
      <c r="Q18" s="60"/>
      <c r="R18" s="60"/>
      <c r="S18" s="60"/>
      <c r="T18" s="60">
        <f>B18</f>
        <v>-36.53705506601955</v>
      </c>
      <c r="U18" s="60"/>
      <c r="V18" s="58"/>
      <c r="W18" s="59"/>
      <c r="X18" s="59">
        <f>B18</f>
        <v>-36.53705506601955</v>
      </c>
      <c r="Y18" s="59"/>
      <c r="Z18" s="59"/>
      <c r="AA18" s="59"/>
      <c r="AB18" s="59"/>
      <c r="AC18" s="59">
        <f>B18</f>
        <v>-36.53705506601955</v>
      </c>
      <c r="AD18" s="59"/>
      <c r="AE18" s="59">
        <f>B18</f>
        <v>-36.53705506601955</v>
      </c>
      <c r="AF18" s="59"/>
      <c r="AG18" s="59"/>
      <c r="AH18" s="59"/>
      <c r="AI18" s="59"/>
      <c r="AJ18" s="59">
        <f>B18</f>
        <v>-36.53705506601955</v>
      </c>
      <c r="AK18" s="59"/>
      <c r="AL18" s="59"/>
      <c r="AM18" s="59">
        <f>B18</f>
        <v>-36.53705506601955</v>
      </c>
      <c r="AN18" s="59"/>
      <c r="AO18" s="59"/>
      <c r="AP18" s="59"/>
      <c r="AQ18" s="59"/>
      <c r="AR18" s="59"/>
      <c r="AS18" s="59">
        <f>B18</f>
        <v>-36.53705506601955</v>
      </c>
      <c r="AT18" s="46"/>
      <c r="AU18" s="46"/>
    </row>
    <row r="19" spans="1:47" ht="12.75" hidden="1">
      <c r="A19" s="57">
        <v>15</v>
      </c>
      <c r="B19" s="58">
        <f>'Copy Data &amp; calc S-N Ratio QC-B'!Z19</f>
        <v>-64.17588393587809</v>
      </c>
      <c r="C19" s="58"/>
      <c r="D19" s="58"/>
      <c r="E19" s="58"/>
      <c r="F19" s="58"/>
      <c r="G19" s="59">
        <f t="shared" si="1"/>
        <v>-64.17588393587809</v>
      </c>
      <c r="H19" s="59"/>
      <c r="I19" s="58"/>
      <c r="J19" s="59"/>
      <c r="K19" s="59"/>
      <c r="L19" s="59">
        <f>B19</f>
        <v>-64.17588393587809</v>
      </c>
      <c r="M19" s="59"/>
      <c r="N19" s="59"/>
      <c r="O19" s="60"/>
      <c r="P19" s="60"/>
      <c r="Q19" s="60"/>
      <c r="R19" s="60"/>
      <c r="S19" s="60"/>
      <c r="T19" s="60">
        <f>B19</f>
        <v>-64.17588393587809</v>
      </c>
      <c r="U19" s="60"/>
      <c r="V19" s="58"/>
      <c r="W19" s="59"/>
      <c r="X19" s="59"/>
      <c r="Y19" s="59">
        <f>B19</f>
        <v>-64.17588393587809</v>
      </c>
      <c r="Z19" s="59"/>
      <c r="AA19" s="59">
        <f>B19</f>
        <v>-64.17588393587809</v>
      </c>
      <c r="AB19" s="59"/>
      <c r="AC19" s="59"/>
      <c r="AD19" s="59"/>
      <c r="AE19" s="59"/>
      <c r="AF19" s="59">
        <f>B19</f>
        <v>-64.17588393587809</v>
      </c>
      <c r="AG19" s="59"/>
      <c r="AH19" s="59"/>
      <c r="AI19" s="59"/>
      <c r="AJ19" s="59"/>
      <c r="AK19" s="59">
        <f>B19</f>
        <v>-64.17588393587809</v>
      </c>
      <c r="AL19" s="59"/>
      <c r="AM19" s="59"/>
      <c r="AN19" s="59">
        <f>B19</f>
        <v>-64.17588393587809</v>
      </c>
      <c r="AO19" s="59"/>
      <c r="AP19" s="59"/>
      <c r="AQ19" s="59">
        <f>B19</f>
        <v>-64.17588393587809</v>
      </c>
      <c r="AR19" s="59"/>
      <c r="AS19" s="59"/>
      <c r="AT19" s="46"/>
      <c r="AU19" s="46"/>
    </row>
    <row r="20" spans="1:47" ht="12.75" hidden="1">
      <c r="A20" s="57">
        <v>16</v>
      </c>
      <c r="B20" s="58">
        <f>'Copy Data &amp; calc S-N Ratio QC-B'!Z20</f>
        <v>-27.331080601187026</v>
      </c>
      <c r="C20" s="58"/>
      <c r="D20" s="58"/>
      <c r="E20" s="58"/>
      <c r="F20" s="58"/>
      <c r="G20" s="59">
        <f t="shared" si="1"/>
        <v>-27.331080601187026</v>
      </c>
      <c r="H20" s="59"/>
      <c r="I20" s="58"/>
      <c r="J20" s="59"/>
      <c r="K20" s="59"/>
      <c r="L20" s="59"/>
      <c r="M20" s="59">
        <f>B20</f>
        <v>-27.331080601187026</v>
      </c>
      <c r="N20" s="59"/>
      <c r="O20" s="60"/>
      <c r="P20" s="60"/>
      <c r="Q20" s="60"/>
      <c r="R20" s="60"/>
      <c r="S20" s="60"/>
      <c r="T20" s="60"/>
      <c r="U20" s="60">
        <f>B20</f>
        <v>-27.331080601187026</v>
      </c>
      <c r="V20" s="58"/>
      <c r="W20" s="59">
        <f>B20</f>
        <v>-27.331080601187026</v>
      </c>
      <c r="X20" s="59"/>
      <c r="Y20" s="59"/>
      <c r="Z20" s="59"/>
      <c r="AA20" s="59"/>
      <c r="AB20" s="59"/>
      <c r="AC20" s="59">
        <f>B20</f>
        <v>-27.331080601187026</v>
      </c>
      <c r="AD20" s="59"/>
      <c r="AE20" s="59"/>
      <c r="AF20" s="59">
        <f>B20</f>
        <v>-27.331080601187026</v>
      </c>
      <c r="AG20" s="59"/>
      <c r="AH20" s="59"/>
      <c r="AI20" s="59"/>
      <c r="AJ20" s="59"/>
      <c r="AK20" s="59">
        <f>B20</f>
        <v>-27.331080601187026</v>
      </c>
      <c r="AL20" s="59"/>
      <c r="AM20" s="59">
        <f>B20</f>
        <v>-27.331080601187026</v>
      </c>
      <c r="AN20" s="59"/>
      <c r="AO20" s="59"/>
      <c r="AP20" s="59"/>
      <c r="AQ20" s="59"/>
      <c r="AR20" s="59">
        <f>B20</f>
        <v>-27.331080601187026</v>
      </c>
      <c r="AS20" s="59"/>
      <c r="AT20" s="46"/>
      <c r="AU20" s="46"/>
    </row>
    <row r="21" spans="1:47" ht="12.75" hidden="1">
      <c r="A21" s="57">
        <v>17</v>
      </c>
      <c r="B21" s="58">
        <f>'Copy Data &amp; calc S-N Ratio QC-B'!Z21</f>
        <v>-71.50517913108035</v>
      </c>
      <c r="C21" s="58"/>
      <c r="D21" s="58"/>
      <c r="E21" s="58"/>
      <c r="F21" s="58"/>
      <c r="G21" s="59">
        <f t="shared" si="1"/>
        <v>-71.50517913108035</v>
      </c>
      <c r="H21" s="59"/>
      <c r="I21" s="58"/>
      <c r="J21" s="59"/>
      <c r="K21" s="59"/>
      <c r="L21" s="59"/>
      <c r="M21" s="59">
        <f>B21</f>
        <v>-71.50517913108035</v>
      </c>
      <c r="N21" s="59"/>
      <c r="O21" s="60"/>
      <c r="P21" s="60"/>
      <c r="Q21" s="60"/>
      <c r="R21" s="60"/>
      <c r="S21" s="60"/>
      <c r="T21" s="60"/>
      <c r="U21" s="60">
        <f>B21</f>
        <v>-71.50517913108035</v>
      </c>
      <c r="V21" s="58"/>
      <c r="W21" s="59"/>
      <c r="X21" s="59">
        <f>B21</f>
        <v>-71.50517913108035</v>
      </c>
      <c r="Y21" s="59"/>
      <c r="Z21" s="59"/>
      <c r="AA21" s="59">
        <f>B21</f>
        <v>-71.50517913108035</v>
      </c>
      <c r="AB21" s="59"/>
      <c r="AC21" s="59"/>
      <c r="AD21" s="59"/>
      <c r="AE21" s="59"/>
      <c r="AF21" s="59"/>
      <c r="AG21" s="59">
        <f>B21</f>
        <v>-71.50517913108035</v>
      </c>
      <c r="AH21" s="59"/>
      <c r="AI21" s="59">
        <f>B21</f>
        <v>-71.50517913108035</v>
      </c>
      <c r="AJ21" s="59"/>
      <c r="AK21" s="59"/>
      <c r="AL21" s="59"/>
      <c r="AM21" s="59"/>
      <c r="AN21" s="59">
        <f>B21</f>
        <v>-71.50517913108035</v>
      </c>
      <c r="AO21" s="59"/>
      <c r="AP21" s="59"/>
      <c r="AQ21" s="59"/>
      <c r="AR21" s="59"/>
      <c r="AS21" s="59">
        <f>B21</f>
        <v>-71.50517913108035</v>
      </c>
      <c r="AT21" s="46"/>
      <c r="AU21" s="46"/>
    </row>
    <row r="22" spans="1:47" ht="12.75" hidden="1">
      <c r="A22" s="57">
        <v>18</v>
      </c>
      <c r="B22" s="58">
        <f>'Copy Data &amp; calc S-N Ratio QC-B'!Z22</f>
        <v>-71.99572354905203</v>
      </c>
      <c r="C22" s="58"/>
      <c r="D22" s="58"/>
      <c r="E22" s="58"/>
      <c r="F22" s="58"/>
      <c r="G22" s="59">
        <f t="shared" si="1"/>
        <v>-71.99572354905203</v>
      </c>
      <c r="H22" s="59"/>
      <c r="I22" s="58"/>
      <c r="J22" s="59"/>
      <c r="K22" s="59"/>
      <c r="L22" s="59"/>
      <c r="M22" s="59">
        <f>B22</f>
        <v>-71.99572354905203</v>
      </c>
      <c r="N22" s="59"/>
      <c r="O22" s="60"/>
      <c r="P22" s="60"/>
      <c r="Q22" s="60"/>
      <c r="R22" s="60"/>
      <c r="S22" s="60"/>
      <c r="T22" s="60"/>
      <c r="U22" s="60">
        <f>B22</f>
        <v>-71.99572354905203</v>
      </c>
      <c r="V22" s="58"/>
      <c r="W22" s="59"/>
      <c r="X22" s="59"/>
      <c r="Y22" s="59">
        <f>B22</f>
        <v>-71.99572354905203</v>
      </c>
      <c r="Z22" s="59"/>
      <c r="AA22" s="59"/>
      <c r="AB22" s="59">
        <f>B22</f>
        <v>-71.99572354905203</v>
      </c>
      <c r="AC22" s="59"/>
      <c r="AD22" s="59"/>
      <c r="AE22" s="59">
        <f>B22</f>
        <v>-71.99572354905203</v>
      </c>
      <c r="AF22" s="59"/>
      <c r="AG22" s="59"/>
      <c r="AH22" s="59"/>
      <c r="AI22" s="59"/>
      <c r="AJ22" s="59">
        <f>B22</f>
        <v>-71.99572354905203</v>
      </c>
      <c r="AK22" s="59"/>
      <c r="AL22" s="59"/>
      <c r="AM22" s="59"/>
      <c r="AN22" s="59"/>
      <c r="AO22" s="59">
        <f>B22</f>
        <v>-71.99572354905203</v>
      </c>
      <c r="AP22" s="59"/>
      <c r="AQ22" s="59">
        <f>B22</f>
        <v>-71.99572354905203</v>
      </c>
      <c r="AR22" s="59"/>
      <c r="AS22" s="59"/>
      <c r="AT22" s="46"/>
      <c r="AU22" s="46"/>
    </row>
    <row r="23" spans="1:47" ht="12.75" hidden="1">
      <c r="A23" s="57"/>
      <c r="B23" s="58"/>
      <c r="C23" s="58"/>
      <c r="D23" s="58"/>
      <c r="E23" s="58"/>
      <c r="F23" s="58"/>
      <c r="G23" s="59"/>
      <c r="H23" s="59"/>
      <c r="I23" s="58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46"/>
      <c r="AU23" s="46"/>
    </row>
    <row r="24" spans="1:47" ht="12.75" hidden="1">
      <c r="A24" s="62" t="s">
        <v>9</v>
      </c>
      <c r="B24" s="63"/>
      <c r="C24" s="63"/>
      <c r="D24" s="63"/>
      <c r="E24" s="63"/>
      <c r="F24" s="64">
        <f>SUM(F5:F22)</f>
        <v>-432.21252090952515</v>
      </c>
      <c r="G24" s="65">
        <f>SUM(G5:G22)</f>
        <v>-384.33009227475065</v>
      </c>
      <c r="H24" s="65"/>
      <c r="I24" s="64"/>
      <c r="J24" s="65"/>
      <c r="K24" s="65">
        <f>SUM(K5:K22)</f>
        <v>-145.36497589164767</v>
      </c>
      <c r="L24" s="65">
        <f>SUM(L5:L22)</f>
        <v>-300.6236339062899</v>
      </c>
      <c r="M24" s="65">
        <f>SUM(M5:M22)</f>
        <v>-370.5540033863382</v>
      </c>
      <c r="N24" s="65"/>
      <c r="O24" s="66">
        <f>SUM(O5:O22)</f>
        <v>-81.96120447196387</v>
      </c>
      <c r="P24" s="66">
        <f>SUM(P5:P22)</f>
        <v>-150.52929633254251</v>
      </c>
      <c r="Q24" s="66">
        <f>SUM(Q5:Q22)</f>
        <v>-199.72202010501877</v>
      </c>
      <c r="R24" s="66"/>
      <c r="S24" s="66">
        <f>SUM(S5:S22)</f>
        <v>-63.40377141968381</v>
      </c>
      <c r="T24" s="66">
        <f>SUM(T5:T22)</f>
        <v>-150.09433757374742</v>
      </c>
      <c r="U24" s="66">
        <f>SUM(U5:U22)</f>
        <v>-170.83198328131942</v>
      </c>
      <c r="V24" s="67"/>
      <c r="W24" s="65">
        <f>SUM(W5:W22)</f>
        <v>-165.31157320117023</v>
      </c>
      <c r="X24" s="65">
        <f>SUM(X5:X22)</f>
        <v>-284.6510552412582</v>
      </c>
      <c r="Y24" s="65">
        <f>SUM(Y5:Y22)</f>
        <v>-366.5799847418474</v>
      </c>
      <c r="Z24" s="65"/>
      <c r="AA24" s="65">
        <f>SUM(AA5:AA22)</f>
        <v>-234.1662470766302</v>
      </c>
      <c r="AB24" s="65">
        <f>SUM(AB5:AB22)</f>
        <v>-335.9547945683937</v>
      </c>
      <c r="AC24" s="65">
        <f>SUM(AC5:AC22)</f>
        <v>-246.42157153925177</v>
      </c>
      <c r="AD24" s="65"/>
      <c r="AE24" s="65">
        <f>SUM(AE5:AE22)</f>
        <v>-235.2159377495094</v>
      </c>
      <c r="AF24" s="65">
        <f>SUM(AF5:AF22)</f>
        <v>-281.1122195310431</v>
      </c>
      <c r="AG24" s="65">
        <f>SUM(AG5:AG22)</f>
        <v>-300.2144559037233</v>
      </c>
      <c r="AH24" s="65"/>
      <c r="AI24" s="65">
        <f>SUM(AI5:AI22)</f>
        <v>-309.1464590105236</v>
      </c>
      <c r="AJ24" s="65">
        <f>SUM(AJ5:AJ22)</f>
        <v>-243.2200413727328</v>
      </c>
      <c r="AK24" s="65">
        <f>SUM(AK5:AK22)</f>
        <v>-264.17611280101937</v>
      </c>
      <c r="AL24" s="65"/>
      <c r="AM24" s="65">
        <f>SUM(AM5:AM22)</f>
        <v>-248.90245930354797</v>
      </c>
      <c r="AN24" s="65">
        <f>SUM(AN5:AN22)</f>
        <v>-298.56630094938566</v>
      </c>
      <c r="AO24" s="65">
        <f>SUM(AO5:AO22)</f>
        <v>-269.0738529313421</v>
      </c>
      <c r="AP24" s="65"/>
      <c r="AQ24" s="65">
        <f>SUM(AQ5:AQ22)</f>
        <v>-273.3509897363995</v>
      </c>
      <c r="AR24" s="65">
        <f>SUM(AR5:AR22)</f>
        <v>-249.4838070370024</v>
      </c>
      <c r="AS24" s="65">
        <f>SUM(AS5:AS22)</f>
        <v>-293.7078164108738</v>
      </c>
      <c r="AT24" s="46"/>
      <c r="AU24" s="46"/>
    </row>
    <row r="25" spans="1:47" ht="13.5" hidden="1" thickBot="1">
      <c r="A25" s="68" t="s">
        <v>32</v>
      </c>
      <c r="B25" s="69"/>
      <c r="C25" s="69"/>
      <c r="D25" s="70">
        <f>SUM(B5:B22)/COUNT(B5:B22)</f>
        <v>-45.36347851023755</v>
      </c>
      <c r="E25" s="70"/>
      <c r="F25" s="71">
        <f>AVERAGE(F5:F22)</f>
        <v>-48.023613434391685</v>
      </c>
      <c r="G25" s="72">
        <f>AVERAGE(G5:G22)</f>
        <v>-42.703343586083406</v>
      </c>
      <c r="H25" s="72"/>
      <c r="I25" s="71"/>
      <c r="J25" s="72"/>
      <c r="K25" s="72">
        <f>AVERAGE(K5:K22)</f>
        <v>-24.227495981941278</v>
      </c>
      <c r="L25" s="72">
        <f>AVERAGE(L5:L22)</f>
        <v>-50.10393898438165</v>
      </c>
      <c r="M25" s="72">
        <f>AVERAGE(M5:M22)</f>
        <v>-61.7590005643897</v>
      </c>
      <c r="N25" s="72"/>
      <c r="O25" s="73">
        <f>AVERAGE(O5:O22)</f>
        <v>-27.32040149065462</v>
      </c>
      <c r="P25" s="73">
        <f>AVERAGE(P5:P22)</f>
        <v>-50.17643211084751</v>
      </c>
      <c r="Q25" s="73">
        <f>AVERAGE(Q5:Q22)</f>
        <v>-66.57400670167293</v>
      </c>
      <c r="R25" s="73"/>
      <c r="S25" s="73">
        <f>AVERAGE(S5:S22)</f>
        <v>-21.134590473227934</v>
      </c>
      <c r="T25" s="73">
        <f>AVERAGE(T5:T22)</f>
        <v>-50.031445857915806</v>
      </c>
      <c r="U25" s="73">
        <f>AVERAGE(U5:U22)</f>
        <v>-56.943994427106475</v>
      </c>
      <c r="V25" s="72"/>
      <c r="W25" s="72">
        <f>AVERAGE(W5:W22)</f>
        <v>-27.551928866861704</v>
      </c>
      <c r="X25" s="72">
        <f>AVERAGE(X5:X22)</f>
        <v>-47.4418425402097</v>
      </c>
      <c r="Y25" s="72">
        <f>AVERAGE(Y5:Y22)</f>
        <v>-61.09666412364123</v>
      </c>
      <c r="Z25" s="72"/>
      <c r="AA25" s="72">
        <f>AVERAGE(AA5:AA22)</f>
        <v>-39.02770784610504</v>
      </c>
      <c r="AB25" s="72">
        <f>AVERAGE(AB5:AB22)</f>
        <v>-55.992465761398954</v>
      </c>
      <c r="AC25" s="72">
        <f>AVERAGE(AC5:AC22)</f>
        <v>-41.070261923208626</v>
      </c>
      <c r="AD25" s="72"/>
      <c r="AE25" s="72">
        <f>AVERAGE(AE5:AE22)</f>
        <v>-39.2026562915849</v>
      </c>
      <c r="AF25" s="72">
        <f>AVERAGE(AF5:AF22)</f>
        <v>-46.85203658850718</v>
      </c>
      <c r="AG25" s="72">
        <f>AVERAGE(AG5:AG22)</f>
        <v>-50.035742650620556</v>
      </c>
      <c r="AH25" s="72"/>
      <c r="AI25" s="72">
        <f>AVERAGE(AI5:AI22)</f>
        <v>-51.52440983508726</v>
      </c>
      <c r="AJ25" s="72">
        <f>AVERAGE(AJ5:AJ22)</f>
        <v>-40.53667356212213</v>
      </c>
      <c r="AK25" s="72">
        <f>AVERAGE(AK5:AK22)</f>
        <v>-44.02935213350323</v>
      </c>
      <c r="AL25" s="72"/>
      <c r="AM25" s="72">
        <f>AVERAGE(AM5:AM22)</f>
        <v>-41.483743217257995</v>
      </c>
      <c r="AN25" s="72">
        <f>AVERAGE(AN5:AN22)</f>
        <v>-49.761050158230944</v>
      </c>
      <c r="AO25" s="72">
        <f>AVERAGE(AO5:AO22)</f>
        <v>-44.845642155223686</v>
      </c>
      <c r="AP25" s="72"/>
      <c r="AQ25" s="72">
        <f>AVERAGE(AQ5:AQ22)</f>
        <v>-45.55849828939992</v>
      </c>
      <c r="AR25" s="72">
        <f>AVERAGE(AR5:AR22)</f>
        <v>-41.580634506167065</v>
      </c>
      <c r="AS25" s="72">
        <f>AVERAGE(AS5:AS22)</f>
        <v>-48.95130273514564</v>
      </c>
      <c r="AT25" s="46"/>
      <c r="AU25" s="74">
        <f>$D$25</f>
        <v>-45.36347851023755</v>
      </c>
    </row>
    <row r="26" spans="1:47" ht="12.75" hidden="1">
      <c r="A26" s="75"/>
      <c r="B26" s="76"/>
      <c r="C26" s="76"/>
      <c r="D26" s="77"/>
      <c r="E26" s="77"/>
      <c r="F26" s="78"/>
      <c r="G26" s="79"/>
      <c r="H26" s="59"/>
      <c r="I26" s="58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46"/>
      <c r="AU26" s="74"/>
    </row>
    <row r="27" spans="1:47" ht="25.5" hidden="1">
      <c r="A27" s="80" t="s">
        <v>94</v>
      </c>
      <c r="B27" s="81"/>
      <c r="C27" s="81"/>
      <c r="D27" s="82"/>
      <c r="E27" s="82"/>
      <c r="F27" s="82">
        <f>F25-$D$25</f>
        <v>-2.6601349241541357</v>
      </c>
      <c r="G27" s="82">
        <f aca="true" t="shared" si="2" ref="G27:AS27">G25-$D$25</f>
        <v>2.6601349241541428</v>
      </c>
      <c r="H27" s="82"/>
      <c r="I27" s="82"/>
      <c r="J27" s="82"/>
      <c r="K27" s="82">
        <f t="shared" si="2"/>
        <v>21.13598252829627</v>
      </c>
      <c r="L27" s="82">
        <f t="shared" si="2"/>
        <v>-4.7404604741441005</v>
      </c>
      <c r="M27" s="82">
        <f t="shared" si="2"/>
        <v>-16.395522054152153</v>
      </c>
      <c r="N27" s="82"/>
      <c r="O27" s="82">
        <f t="shared" si="2"/>
        <v>18.043077019582928</v>
      </c>
      <c r="P27" s="82">
        <f t="shared" si="2"/>
        <v>-4.8129536006099585</v>
      </c>
      <c r="Q27" s="82">
        <f t="shared" si="2"/>
        <v>-21.21052819143538</v>
      </c>
      <c r="R27" s="82"/>
      <c r="S27" s="82">
        <f t="shared" si="2"/>
        <v>24.228888037009614</v>
      </c>
      <c r="T27" s="82">
        <f t="shared" si="2"/>
        <v>-4.667967347678257</v>
      </c>
      <c r="U27" s="82">
        <f t="shared" si="2"/>
        <v>-11.580515916868926</v>
      </c>
      <c r="V27" s="82"/>
      <c r="W27" s="82">
        <f t="shared" si="2"/>
        <v>17.811549643375844</v>
      </c>
      <c r="X27" s="82">
        <f t="shared" si="2"/>
        <v>-2.0783640299721498</v>
      </c>
      <c r="Y27" s="82">
        <f t="shared" si="2"/>
        <v>-15.733185613403684</v>
      </c>
      <c r="Z27" s="82"/>
      <c r="AA27" s="82">
        <f t="shared" si="2"/>
        <v>6.335770664132511</v>
      </c>
      <c r="AB27" s="82">
        <f t="shared" si="2"/>
        <v>-10.628987251161405</v>
      </c>
      <c r="AC27" s="82">
        <f t="shared" si="2"/>
        <v>4.2932165870289225</v>
      </c>
      <c r="AD27" s="82"/>
      <c r="AE27" s="82">
        <f t="shared" si="2"/>
        <v>6.160822218652648</v>
      </c>
      <c r="AF27" s="82">
        <f t="shared" si="2"/>
        <v>-1.4885580782696337</v>
      </c>
      <c r="AG27" s="82">
        <f t="shared" si="2"/>
        <v>-4.672264140383007</v>
      </c>
      <c r="AH27" s="82"/>
      <c r="AI27" s="82">
        <f t="shared" si="2"/>
        <v>-6.160931324849713</v>
      </c>
      <c r="AJ27" s="82">
        <f t="shared" si="2"/>
        <v>4.8268049481154165</v>
      </c>
      <c r="AK27" s="82">
        <f t="shared" si="2"/>
        <v>1.3341263767343179</v>
      </c>
      <c r="AL27" s="82"/>
      <c r="AM27" s="82">
        <f t="shared" si="2"/>
        <v>3.8797352929795537</v>
      </c>
      <c r="AN27" s="82">
        <f t="shared" si="2"/>
        <v>-4.397571647993395</v>
      </c>
      <c r="AO27" s="82">
        <f t="shared" si="2"/>
        <v>0.5178363550138627</v>
      </c>
      <c r="AP27" s="82"/>
      <c r="AQ27" s="82">
        <f t="shared" si="2"/>
        <v>-0.19501977916237223</v>
      </c>
      <c r="AR27" s="82">
        <f t="shared" si="2"/>
        <v>3.7828440040704834</v>
      </c>
      <c r="AS27" s="82">
        <f t="shared" si="2"/>
        <v>-3.58782422490809</v>
      </c>
      <c r="AT27" s="46"/>
      <c r="AU27" s="74"/>
    </row>
    <row r="28" spans="1:47" ht="12.75" hidden="1">
      <c r="A28" s="75"/>
      <c r="B28" s="76"/>
      <c r="C28" s="76"/>
      <c r="D28" s="77"/>
      <c r="E28" s="77"/>
      <c r="F28" s="58"/>
      <c r="G28" s="59"/>
      <c r="H28" s="59"/>
      <c r="I28" s="58"/>
      <c r="J28" s="59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46"/>
      <c r="AU28" s="74"/>
    </row>
    <row r="29" spans="1:47" ht="25.5" customHeight="1" hidden="1">
      <c r="A29" s="75" t="s">
        <v>109</v>
      </c>
      <c r="B29" s="76"/>
      <c r="C29" s="76"/>
      <c r="D29" s="77"/>
      <c r="E29" s="77"/>
      <c r="F29" s="58"/>
      <c r="G29" s="59" t="str">
        <f>IF(F27&gt;G27,D42,E42)</f>
        <v>empty</v>
      </c>
      <c r="H29" s="59"/>
      <c r="I29" s="58"/>
      <c r="J29" s="59"/>
      <c r="K29" s="61"/>
      <c r="L29" s="59" t="str">
        <f>CONCATENATE(IF(AND(K27&gt;L27,K27&gt;M27),D43,""),IF(AND(L27&gt;K27,L27&gt;M27),E43,""),IF(AND(M27&gt;K27,M27&gt;L27),F43,""))</f>
        <v>T1</v>
      </c>
      <c r="M29" s="61"/>
      <c r="N29" s="61"/>
      <c r="O29" s="61"/>
      <c r="P29" s="61"/>
      <c r="Q29" s="61"/>
      <c r="R29" s="61"/>
      <c r="S29" s="61"/>
      <c r="T29" s="61"/>
      <c r="U29" s="61"/>
      <c r="V29" s="59"/>
      <c r="W29" s="59"/>
      <c r="X29" s="59" t="str">
        <f>CONCATENATE(IF(AND(W27&gt;X27,W27&gt;Y27),D44,""),IF(AND(X27&gt;W27,X27&gt;Y27),E44,""),IF(AND(Y27&gt;W27,Y27&gt;X27),F44,""))</f>
        <v>P1</v>
      </c>
      <c r="Y29" s="59"/>
      <c r="Z29" s="59"/>
      <c r="AA29" s="59"/>
      <c r="AB29" s="59" t="str">
        <f>CONCATENATE(IF(AND(AA27&gt;AB27,AA27&gt;AC27),D45,""),IF(AND(AB27&gt;AA27,AB27&gt;AC27),E45,""),IF(AND(AC27&gt;AA27,AC27&gt;AB27),F45,""))</f>
        <v>N1</v>
      </c>
      <c r="AC29" s="59"/>
      <c r="AD29" s="59"/>
      <c r="AE29" s="59"/>
      <c r="AF29" s="59" t="str">
        <f>CONCATENATE(IF(AND(AE27&gt;AF27,AE27&gt;AG27),D46,""),IF(AND(AF27&gt;AE27,AF27&gt;AG27),E46,""),IF(AND(AG27&gt;AE27,AG27&gt;AF27),F46,""))</f>
        <v>S1</v>
      </c>
      <c r="AG29" s="59"/>
      <c r="AH29" s="59"/>
      <c r="AI29" s="59"/>
      <c r="AJ29" s="59" t="str">
        <f>CONCATENATE(IF(AND(AI27&gt;AJ27,AI27&gt;AK27),D47,""),IF(AND(AJ27&gt;AI27,AJ27&gt;AK27),E47,""),IF(AND(AK27&gt;AI27,AK27&gt;AJ27),F47,""))</f>
        <v>I2</v>
      </c>
      <c r="AK29" s="59"/>
      <c r="AL29" s="59"/>
      <c r="AM29" s="59"/>
      <c r="AN29" s="59" t="str">
        <f>CONCATENATE(IF(AND(AM27&gt;AN27,AM27&gt;AO27),D48,""),IF(AND(AN27&gt;AM27,AN27&gt;AO27),E48,""),IF(AND(AO27&gt;AM27,AO27&gt;AN27),F48,""))</f>
        <v>-</v>
      </c>
      <c r="AO29" s="59"/>
      <c r="AP29" s="59"/>
      <c r="AQ29" s="59"/>
      <c r="AR29" s="59" t="str">
        <f>CONCATENATE(IF(AND(AQ27&gt;AR27,AQ27&gt;AS27),D49,""),IF(AND(AR27&gt;AQ27,AR27&gt;AS27),E49,""),IF(AND(AS27&gt;AQ27,AS27&gt;AR27),F49,""))</f>
        <v>C2</v>
      </c>
      <c r="AS29" s="59"/>
      <c r="AT29" s="46"/>
      <c r="AU29" s="74"/>
    </row>
    <row r="30" spans="1:47" ht="15.75" customHeight="1" hidden="1">
      <c r="A30" s="75"/>
      <c r="B30" s="76"/>
      <c r="C30" s="76"/>
      <c r="D30" s="77"/>
      <c r="E30" s="77"/>
      <c r="F30" s="58"/>
      <c r="G30" s="59"/>
      <c r="H30" s="59"/>
      <c r="I30" s="58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46"/>
      <c r="AU30" s="74"/>
    </row>
    <row r="31" spans="1:47" ht="21" customHeight="1" hidden="1">
      <c r="A31" s="83" t="s">
        <v>111</v>
      </c>
      <c r="B31" s="76">
        <f>B34+IF(G29=F4,F27,0)+IF(G29=G4,G27,0)+IF(L29=K4,K27,0)+IF(L29=L4,L27,0)+IF(L29=M4,M27,0)+IF(X29=W4,W27,0)+IF(X29=X4,X27,0)+IF(X29=Y4,Y27,0)+IF(AB29=AA4,AA27,0)+IF(AB29=AB4,AB27,0)+IF(AB29=AC4,AC27,0)+IF(AF29=AE4,AE27,0)+IF(AF29=AF4,AF27,0)+IF(AF29=AG4,AG27,0)+IF(AJ29=AH4,AH27,0)+IF(AJ29=AJ4,AJ27,0)+IF(AJ29=AK4,AK27,0)+IF(AN29=AM4,AM27,0)+IF(AN29=AN4,AN27,0)+IF(AN29=AO4,AO27,0)+IF(AR29=AQ4,AQ27,0)+IF(AQ29=AQ4,AQ27,0)+IF(AQ29=AR4,AR27,0)</f>
        <v>10.90745149233517</v>
      </c>
      <c r="C31" s="76"/>
      <c r="D31" s="77"/>
      <c r="E31" s="77"/>
      <c r="F31" s="58"/>
      <c r="G31" s="59"/>
      <c r="H31" s="59"/>
      <c r="I31" s="58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46"/>
      <c r="AU31" s="74"/>
    </row>
    <row r="32" spans="1:47" ht="21" customHeight="1" hidden="1">
      <c r="A32" s="83" t="s">
        <v>112</v>
      </c>
      <c r="B32" s="76">
        <f>POWER(10,B31/-20)</f>
        <v>0.28485734712124744</v>
      </c>
      <c r="C32" s="76"/>
      <c r="D32" s="77"/>
      <c r="E32" s="77"/>
      <c r="F32" s="58"/>
      <c r="G32" s="59"/>
      <c r="H32" s="59"/>
      <c r="I32" s="58"/>
      <c r="J32" s="59"/>
      <c r="K32" s="59"/>
      <c r="L32" s="59"/>
      <c r="M32" s="59"/>
      <c r="N32" s="59"/>
      <c r="O32" s="61"/>
      <c r="P32" s="61"/>
      <c r="Q32" s="61"/>
      <c r="R32" s="61"/>
      <c r="S32" s="61"/>
      <c r="T32" s="61"/>
      <c r="U32" s="61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46"/>
      <c r="AU32" s="74"/>
    </row>
    <row r="33" spans="1:47" ht="21" customHeight="1" hidden="1">
      <c r="A33" s="46"/>
      <c r="B33" s="84"/>
      <c r="C33" s="84"/>
      <c r="D33" s="84"/>
      <c r="E33" s="84"/>
      <c r="F33" s="85"/>
      <c r="G33" s="46"/>
      <c r="H33" s="46"/>
      <c r="I33" s="8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</row>
    <row r="34" spans="1:47" ht="12.75" hidden="1">
      <c r="A34" s="49" t="s">
        <v>33</v>
      </c>
      <c r="B34" s="86">
        <f>SUM(B5:B22)/COUNT(B5:B22)</f>
        <v>-45.36347851023755</v>
      </c>
      <c r="C34" s="86"/>
      <c r="D34" s="86">
        <f>SUM(B5:B22)/COUNT(B5:B22)</f>
        <v>-45.36347851023755</v>
      </c>
      <c r="E34" s="86"/>
      <c r="F34" s="86">
        <f>SUM(B5:B22)/COUNT(B5:B22)</f>
        <v>-45.36347851023755</v>
      </c>
      <c r="G34" s="46"/>
      <c r="H34" s="46"/>
      <c r="I34" s="8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74">
        <f>$F$34</f>
        <v>-45.36347851023755</v>
      </c>
      <c r="AT34" s="46"/>
      <c r="AU34" s="46"/>
    </row>
    <row r="35" spans="1:47" ht="12.75" hidden="1">
      <c r="A35" s="49" t="s">
        <v>45</v>
      </c>
      <c r="B35" s="87">
        <f>SUMSQ(B5:B22)</f>
        <v>47231.25165853584</v>
      </c>
      <c r="C35" s="86"/>
      <c r="D35" s="86"/>
      <c r="E35" s="86"/>
      <c r="F35" s="86"/>
      <c r="G35" s="46"/>
      <c r="H35" s="46"/>
      <c r="I35" s="8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74"/>
      <c r="AT35" s="46"/>
      <c r="AU35" s="46"/>
    </row>
    <row r="36" spans="1:47" ht="12.75" hidden="1">
      <c r="A36" s="87" t="s">
        <v>44</v>
      </c>
      <c r="B36" s="87">
        <f>SUMSQ(B5:B22)-18*F34*F34</f>
        <v>10190.038372657727</v>
      </c>
      <c r="C36" s="88"/>
      <c r="D36" s="89"/>
      <c r="E36" s="89"/>
      <c r="F36" s="89"/>
      <c r="G36" s="46"/>
      <c r="H36" s="46"/>
      <c r="I36" s="8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</row>
    <row r="37" spans="1:47" ht="12.75" hidden="1">
      <c r="A37" s="88"/>
      <c r="B37" s="88"/>
      <c r="C37" s="88"/>
      <c r="D37" s="89"/>
      <c r="E37" s="89"/>
      <c r="F37" s="89"/>
      <c r="G37" s="46"/>
      <c r="H37" s="46"/>
      <c r="I37" s="85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</row>
    <row r="38" spans="1:12" ht="12.75" hidden="1">
      <c r="A38" s="46"/>
      <c r="B38" s="46"/>
      <c r="C38" s="46"/>
      <c r="D38" s="85"/>
      <c r="E38" s="85"/>
      <c r="F38" s="85"/>
      <c r="G38" s="46"/>
      <c r="H38" s="46"/>
      <c r="I38" s="85"/>
      <c r="J38" s="46"/>
      <c r="K38" s="46"/>
      <c r="L38" s="46"/>
    </row>
    <row r="39" spans="1:12" ht="12.75">
      <c r="A39" s="46"/>
      <c r="B39" s="46"/>
      <c r="C39" s="46"/>
      <c r="D39" s="85"/>
      <c r="E39" s="85"/>
      <c r="F39" s="85"/>
      <c r="G39" s="46"/>
      <c r="H39" s="46"/>
      <c r="I39" s="85"/>
      <c r="J39" s="46"/>
      <c r="K39" s="46"/>
      <c r="L39" s="46"/>
    </row>
    <row r="40" spans="1:12" ht="32.25" customHeight="1">
      <c r="A40" s="88"/>
      <c r="B40" s="88"/>
      <c r="C40" s="462" t="s">
        <v>119</v>
      </c>
      <c r="D40" s="463"/>
      <c r="E40" s="464"/>
      <c r="F40" s="89"/>
      <c r="G40" s="46"/>
      <c r="H40" s="46"/>
      <c r="I40" s="85"/>
      <c r="J40" s="46"/>
      <c r="K40" s="46"/>
      <c r="L40" s="46"/>
    </row>
    <row r="41" spans="1:14" s="33" customFormat="1" ht="42.75" customHeight="1">
      <c r="A41" s="90" t="s">
        <v>87</v>
      </c>
      <c r="B41" s="91" t="s">
        <v>132</v>
      </c>
      <c r="C41" s="90"/>
      <c r="D41" s="90" t="s">
        <v>123</v>
      </c>
      <c r="E41" s="90" t="s">
        <v>124</v>
      </c>
      <c r="F41" s="90" t="s">
        <v>125</v>
      </c>
      <c r="G41" s="264" t="s">
        <v>88</v>
      </c>
      <c r="H41" s="92" t="s">
        <v>121</v>
      </c>
      <c r="I41" s="199" t="s">
        <v>93</v>
      </c>
      <c r="J41" s="93"/>
      <c r="K41" s="93" t="s">
        <v>63</v>
      </c>
      <c r="L41" s="93" t="s">
        <v>118</v>
      </c>
      <c r="M41" s="245" t="s">
        <v>177</v>
      </c>
      <c r="N41" s="244" t="s">
        <v>220</v>
      </c>
    </row>
    <row r="42" spans="1:14" ht="23.25" customHeight="1">
      <c r="A42" s="85" t="s">
        <v>79</v>
      </c>
      <c r="B42" s="85" t="str">
        <f>'Control-NoIsE Factors &amp; Levels'!C4</f>
        <v>empty</v>
      </c>
      <c r="C42" s="46"/>
      <c r="D42" s="85" t="str">
        <f>'Control-NoIsE Factors &amp; Levels'!D4</f>
        <v>empty</v>
      </c>
      <c r="E42" s="85" t="str">
        <f>'Control-NoIsE Factors &amp; Levels'!E4</f>
        <v>empty</v>
      </c>
      <c r="F42" s="334"/>
      <c r="G42" s="339" t="str">
        <f>IF(I42="-","-",1)</f>
        <v>-</v>
      </c>
      <c r="H42" s="95" t="str">
        <f aca="true" t="shared" si="3" ref="H42:H49">IF(OR(B42="-",B42="empty"),"-",CONCATENATE(IF(G42=1,D42,""),IF(G42=2,E42,""),IF(G42=3,F42,"")))</f>
        <v>-</v>
      </c>
      <c r="I42" s="340" t="str">
        <f>IF(OR(M42="-",K42="-"),"-",G$29)</f>
        <v>-</v>
      </c>
      <c r="J42" s="96"/>
      <c r="K42" s="97" t="str">
        <f>IF('ANOVA -smaller-the-Better '!M4="-","-",'ANOVA -smaller-the-Better '!H4)</f>
        <v>-</v>
      </c>
      <c r="L42" s="85">
        <f>IF(OR(B42="-",B42="empty",K42="-"),"0","1")*(IF(H42=K4,K27,"0")+IF(H42=L4,L27,"0")+IF(H42=M4,M27,"0"))</f>
        <v>0</v>
      </c>
      <c r="M42" s="14" t="str">
        <f>'ANOVA -smaller-the-Better '!$M4</f>
        <v>-</v>
      </c>
      <c r="N42" s="5" t="str">
        <f>CONCATENATE(IF(AND(M42&gt;4,NOT(M42="-"),K42&gt;15),"D O M I N A N T ",""),IF(AND(M42&gt;4,NOT(M42="-"),K42&lt;15,K42&gt;5),"SIGNIFICANT ",""),IF(AND(M42&gt;=2,M42&lt;4,NOT(M42="-"),K42&gt;=5),"SIGNIFICANT",""),IF(OR(M42&lt;2,M42="-",K42&lt;5),"neutral/negligible",""),IF(M42="-","-",""))</f>
        <v>neutral/negligible-</v>
      </c>
    </row>
    <row r="43" spans="1:14" ht="23.25" customHeight="1">
      <c r="A43" s="85" t="s">
        <v>80</v>
      </c>
      <c r="B43" s="85" t="str">
        <f>'Control-NoIsE Factors &amp; Levels'!C5</f>
        <v>Temperature</v>
      </c>
      <c r="C43" s="46"/>
      <c r="D43" s="85" t="str">
        <f>'Control-NoIsE Factors &amp; Levels'!D5</f>
        <v>T1</v>
      </c>
      <c r="E43" s="85" t="str">
        <f>'Control-NoIsE Factors &amp; Levels'!E5</f>
        <v>T2</v>
      </c>
      <c r="F43" s="94" t="str">
        <f>'Control-NoIsE Factors &amp; Levels'!F5</f>
        <v>T3</v>
      </c>
      <c r="G43" s="339">
        <f aca="true" t="shared" si="4" ref="G43:G49">IF(I43="-","-",1)</f>
        <v>1</v>
      </c>
      <c r="H43" s="95" t="str">
        <f t="shared" si="3"/>
        <v>T1</v>
      </c>
      <c r="I43" s="340" t="str">
        <f>IF(OR(M43="-",K43="-"),"-",L$29)</f>
        <v>T1</v>
      </c>
      <c r="J43" s="96"/>
      <c r="K43" s="97">
        <f>IF('ANOVA -smaller-the-Better '!M5="-","-",'ANOVA -smaller-the-Better '!H5)</f>
        <v>43.45507873759289</v>
      </c>
      <c r="L43" s="84">
        <f>IF(OR(B43="-",B43="empty",K43="-"),"0","1")*(IF(H43=K4,K27,"0")+IF(H43=L4,L27,"0")+IF(H43=M4,M27,"0"))</f>
        <v>21.13598252829627</v>
      </c>
      <c r="M43" s="14">
        <f>'ANOVA -smaller-the-Better '!$M5</f>
        <v>18.477940194877892</v>
      </c>
      <c r="N43" s="5" t="str">
        <f aca="true" t="shared" si="5" ref="N43:N49">CONCATENATE(IF(AND(M43&gt;4,NOT(M43="-"),K43&gt;15),"D O M I N A N T ",""),IF(AND(M43&gt;4,NOT(M43="-"),K43&lt;15,K43&gt;5),"SIGNIFICANT ",""),IF(AND(M43&gt;=2,M43&lt;4,NOT(M43="-"),K43&gt;=5),"SIGNIFICANT",""),IF(OR(M43&lt;2,M43="-",K43&lt;5),"neutral/negligible",""),IF(M43="-","-",""))</f>
        <v>D O M I N A N T </v>
      </c>
    </row>
    <row r="44" spans="1:14" ht="23.25" customHeight="1">
      <c r="A44" s="85" t="s">
        <v>81</v>
      </c>
      <c r="B44" s="85" t="str">
        <f>'Control-NoIsE Factors &amp; Levels'!C6</f>
        <v>Pressure</v>
      </c>
      <c r="C44" s="46"/>
      <c r="D44" s="85" t="str">
        <f>'Control-NoIsE Factors &amp; Levels'!D6</f>
        <v>P1</v>
      </c>
      <c r="E44" s="85" t="str">
        <f>'Control-NoIsE Factors &amp; Levels'!E6</f>
        <v>P2</v>
      </c>
      <c r="F44" s="94" t="str">
        <f>'Control-NoIsE Factors &amp; Levels'!F6</f>
        <v>P3</v>
      </c>
      <c r="G44" s="339">
        <f t="shared" si="4"/>
        <v>1</v>
      </c>
      <c r="H44" s="95" t="str">
        <f t="shared" si="3"/>
        <v>P1</v>
      </c>
      <c r="I44" s="340" t="str">
        <f>IF(OR(M44="-",K44="-"),"-",X$29)</f>
        <v>P1</v>
      </c>
      <c r="J44" s="96"/>
      <c r="K44" s="97">
        <f>IF('ANOVA -smaller-the-Better '!M8="-","-",'ANOVA -smaller-the-Better '!H8)</f>
        <v>33.50943381012442</v>
      </c>
      <c r="L44" s="84">
        <f>IF(OR(B44="-",B44="empty",K44="-"),"0","1")*(IF(H44=W4,W27,"0")+IF(H44=X4,X27,"0")+IF(H44=Y4,Y27,"0"))</f>
        <v>17.811549643375844</v>
      </c>
      <c r="M44" s="14">
        <f>'ANOVA -smaller-the-Better '!$M8</f>
        <v>14.248859555558518</v>
      </c>
      <c r="N44" s="5" t="str">
        <f t="shared" si="5"/>
        <v>D O M I N A N T </v>
      </c>
    </row>
    <row r="45" spans="1:14" ht="23.25" customHeight="1">
      <c r="A45" s="85" t="s">
        <v>82</v>
      </c>
      <c r="B45" s="85" t="str">
        <f>'Control-NoIsE Factors &amp; Levels'!C7</f>
        <v>Nitrogen</v>
      </c>
      <c r="C45" s="46"/>
      <c r="D45" s="85" t="str">
        <f>'Control-NoIsE Factors &amp; Levels'!D7</f>
        <v>N1</v>
      </c>
      <c r="E45" s="85" t="str">
        <f>'Control-NoIsE Factors &amp; Levels'!E7</f>
        <v>N2</v>
      </c>
      <c r="F45" s="94" t="str">
        <f>'Control-NoIsE Factors &amp; Levels'!F7</f>
        <v>N3</v>
      </c>
      <c r="G45" s="339">
        <f t="shared" si="4"/>
        <v>1</v>
      </c>
      <c r="H45" s="95" t="str">
        <f t="shared" si="3"/>
        <v>N1</v>
      </c>
      <c r="I45" s="340" t="str">
        <f>IF(OR(M45="-",K45="-"),"-",AB$29)</f>
        <v>N1</v>
      </c>
      <c r="J45" s="96"/>
      <c r="K45" s="97">
        <f>IF('ANOVA -smaller-the-Better '!M9="-","-",'ANOVA -smaller-the-Better '!H9)</f>
        <v>10.100986607701927</v>
      </c>
      <c r="L45" s="84">
        <f>IF(OR(B45="-",B45="empty",K45="-"),"0","1")*(IF(H45=AA4,AA27,"0")+IF(H45=AB4,AB27,"0")+IF(H45=AC4,AC27,"0"))</f>
        <v>6.335770664132511</v>
      </c>
      <c r="M45" s="14">
        <f>'ANOVA -smaller-the-Better '!$M9</f>
        <v>4.295134927115255</v>
      </c>
      <c r="N45" s="5" t="str">
        <f t="shared" si="5"/>
        <v>SIGNIFICANT </v>
      </c>
    </row>
    <row r="46" spans="1:14" ht="23.25" customHeight="1">
      <c r="A46" s="85" t="s">
        <v>83</v>
      </c>
      <c r="B46" s="85" t="str">
        <f>'Control-NoIsE Factors &amp; Levels'!C8</f>
        <v>Silane</v>
      </c>
      <c r="C46" s="46"/>
      <c r="D46" s="85" t="str">
        <f>'Control-NoIsE Factors &amp; Levels'!D8</f>
        <v>S1</v>
      </c>
      <c r="E46" s="85" t="str">
        <f>'Control-NoIsE Factors &amp; Levels'!E8</f>
        <v>S2</v>
      </c>
      <c r="F46" s="94" t="str">
        <f>'Control-NoIsE Factors &amp; Levels'!F8</f>
        <v>S3</v>
      </c>
      <c r="G46" s="339" t="str">
        <f t="shared" si="4"/>
        <v>-</v>
      </c>
      <c r="H46" s="95">
        <f t="shared" si="3"/>
      </c>
      <c r="I46" s="340" t="str">
        <f>IF(OR(M46="-",K46="-"),"-",AF$29)</f>
        <v>-</v>
      </c>
      <c r="J46" s="96"/>
      <c r="K46" s="97" t="str">
        <f>IF('ANOVA -smaller-the-Better '!M10="-","-",'ANOVA -smaller-the-Better '!H10)</f>
        <v>-</v>
      </c>
      <c r="L46" s="84">
        <f>IF(OR(B46="-",B46="empty",K46="-"),"0","1")*(IF(H46=AE4,AE27,"0")+IF(H46=AF4,AF27,"0")+IF(H46=AG4,AG27,"0"))</f>
        <v>0</v>
      </c>
      <c r="M46" s="14" t="str">
        <f>'ANOVA -smaller-the-Better '!$M10</f>
        <v>-</v>
      </c>
      <c r="N46" s="5" t="str">
        <f t="shared" si="5"/>
        <v>neutral/negligible-</v>
      </c>
    </row>
    <row r="47" spans="1:14" ht="23.25" customHeight="1">
      <c r="A47" s="85" t="s">
        <v>84</v>
      </c>
      <c r="B47" s="85" t="str">
        <f>'Control-NoIsE Factors &amp; Levels'!C9</f>
        <v>Initial Settling time</v>
      </c>
      <c r="C47" s="46"/>
      <c r="D47" s="85" t="str">
        <f>'Control-NoIsE Factors &amp; Levels'!D9</f>
        <v>I1</v>
      </c>
      <c r="E47" s="85" t="str">
        <f>'Control-NoIsE Factors &amp; Levels'!E9</f>
        <v>I2</v>
      </c>
      <c r="F47" s="94" t="str">
        <f>'Control-NoIsE Factors &amp; Levels'!F9</f>
        <v>I3</v>
      </c>
      <c r="G47" s="339" t="str">
        <f t="shared" si="4"/>
        <v>-</v>
      </c>
      <c r="H47" s="95">
        <f t="shared" si="3"/>
      </c>
      <c r="I47" s="340" t="str">
        <f>IF(OR(M47="-",K47="-"),"-",AJ$29)</f>
        <v>-</v>
      </c>
      <c r="J47" s="96"/>
      <c r="K47" s="97" t="str">
        <f>IF('ANOVA -smaller-the-Better '!M11="-","-",'ANOVA -smaller-the-Better '!H11)</f>
        <v>-</v>
      </c>
      <c r="L47" s="84">
        <f>IF(OR(B47="-",B47="empty",K47="-"),"0","1")*(IF(H47=AI4,AI27,"0")+IF(H47=AJ4,AJ27,"0")+IF(H47=AK4,AK27,"0"))</f>
        <v>0</v>
      </c>
      <c r="M47" s="14" t="str">
        <f>'ANOVA -smaller-the-Better '!$M11</f>
        <v>-</v>
      </c>
      <c r="N47" s="5" t="str">
        <f t="shared" si="5"/>
        <v>neutral/negligible-</v>
      </c>
    </row>
    <row r="48" spans="1:14" ht="23.25" customHeight="1">
      <c r="A48" s="85" t="s">
        <v>85</v>
      </c>
      <c r="B48" s="85" t="str">
        <f>'Control-NoIsE Factors &amp; Levels'!C10</f>
        <v>-</v>
      </c>
      <c r="C48" s="46"/>
      <c r="D48" s="85" t="str">
        <f>'Control-NoIsE Factors &amp; Levels'!D10</f>
        <v>-</v>
      </c>
      <c r="E48" s="85" t="str">
        <f>'Control-NoIsE Factors &amp; Levels'!E10</f>
        <v>-</v>
      </c>
      <c r="F48" s="94" t="str">
        <f>'Control-NoIsE Factors &amp; Levels'!F10</f>
        <v>-</v>
      </c>
      <c r="G48" s="339" t="str">
        <f t="shared" si="4"/>
        <v>-</v>
      </c>
      <c r="H48" s="95" t="str">
        <f t="shared" si="3"/>
        <v>-</v>
      </c>
      <c r="I48" s="340" t="str">
        <f>IF(OR(M48="-",K48="-"),"-",AN$29)</f>
        <v>-</v>
      </c>
      <c r="J48" s="96"/>
      <c r="K48" s="97" t="str">
        <f>IF('ANOVA -smaller-the-Better '!M12="-","-",'ANOVA -smaller-the-Better '!H12)</f>
        <v>-</v>
      </c>
      <c r="L48" s="84">
        <f>IF(OR(B48="-",B48="empty",K48="-"),"0","1")*(IF(H48=AM4,AM27,"0")+IF(H48=AN4,AN27,"0")+IF(H48=AO4,AO27,"0"))</f>
        <v>0</v>
      </c>
      <c r="M48" s="14" t="str">
        <f>'ANOVA -smaller-the-Better '!$M12</f>
        <v>-</v>
      </c>
      <c r="N48" s="5" t="str">
        <f t="shared" si="5"/>
        <v>neutral/negligible-</v>
      </c>
    </row>
    <row r="49" spans="1:14" ht="23.25" customHeight="1">
      <c r="A49" s="85" t="s">
        <v>86</v>
      </c>
      <c r="B49" s="85" t="str">
        <f>'Control-NoIsE Factors &amp; Levels'!C11</f>
        <v>Cleaning Method</v>
      </c>
      <c r="C49" s="46"/>
      <c r="D49" s="85" t="str">
        <f>'Control-NoIsE Factors &amp; Levels'!D11</f>
        <v>C1</v>
      </c>
      <c r="E49" s="85" t="str">
        <f>'Control-NoIsE Factors &amp; Levels'!E11</f>
        <v>C2</v>
      </c>
      <c r="F49" s="94" t="str">
        <f>'Control-NoIsE Factors &amp; Levels'!F11</f>
        <v>C3</v>
      </c>
      <c r="G49" s="339" t="str">
        <f t="shared" si="4"/>
        <v>-</v>
      </c>
      <c r="H49" s="95">
        <f t="shared" si="3"/>
      </c>
      <c r="I49" s="340" t="str">
        <f>IF(OR(M49="-",K49="-"),"-",AR$29)</f>
        <v>-</v>
      </c>
      <c r="J49" s="96"/>
      <c r="K49" s="97" t="str">
        <f>IF('ANOVA -smaller-the-Better '!M13="-","-",'ANOVA -smaller-the-Better '!H13)</f>
        <v>-</v>
      </c>
      <c r="L49" s="84">
        <f>IF(OR(B49="-",B49="empty",K49="-"),"0","1")*(IF(H49=AQ4,AQ27,"0")+IF(H49=AR4,AR27,"0")+IF(H49=AS4,AS27,"0"))</f>
        <v>0</v>
      </c>
      <c r="M49" s="14" t="str">
        <f>'ANOVA -smaller-the-Better '!$M13</f>
        <v>-</v>
      </c>
      <c r="N49" s="5" t="str">
        <f t="shared" si="5"/>
        <v>neutral/negligible-</v>
      </c>
    </row>
    <row r="50" spans="1:12" ht="15" customHeight="1">
      <c r="A50" s="46"/>
      <c r="B50" s="46"/>
      <c r="C50" s="46"/>
      <c r="D50" s="85"/>
      <c r="E50" s="85"/>
      <c r="F50" s="49"/>
      <c r="G50" s="46"/>
      <c r="H50" s="88"/>
      <c r="I50" s="85"/>
      <c r="J50" s="46"/>
      <c r="K50" s="98" t="s">
        <v>78</v>
      </c>
      <c r="L50" s="84">
        <f>'Main Effects &amp; "AXB"'!$B$30</f>
        <v>-45.36347851023755</v>
      </c>
    </row>
    <row r="51" spans="1:12" ht="6" customHeight="1">
      <c r="A51" s="46"/>
      <c r="B51" s="46"/>
      <c r="C51" s="46"/>
      <c r="D51" s="85"/>
      <c r="E51" s="85"/>
      <c r="F51" s="49"/>
      <c r="G51" s="46"/>
      <c r="H51" s="46"/>
      <c r="I51" s="85"/>
      <c r="J51" s="46"/>
      <c r="K51" s="99"/>
      <c r="L51" s="46"/>
    </row>
    <row r="52" spans="1:12" ht="20.25">
      <c r="A52" s="46"/>
      <c r="B52" s="46"/>
      <c r="C52" s="46"/>
      <c r="D52" s="85"/>
      <c r="E52" s="85"/>
      <c r="F52" s="49"/>
      <c r="G52" s="100">
        <f>$L$52</f>
        <v>-0.0801756744329225</v>
      </c>
      <c r="H52" s="101"/>
      <c r="I52" s="102"/>
      <c r="J52" s="101"/>
      <c r="K52" s="102" t="s">
        <v>89</v>
      </c>
      <c r="L52" s="84">
        <f>SUM(L42:L50)</f>
        <v>-0.0801756744329225</v>
      </c>
    </row>
    <row r="53" spans="1:12" ht="31.5" customHeight="1">
      <c r="A53" s="46"/>
      <c r="B53" s="46"/>
      <c r="C53" s="46"/>
      <c r="D53" s="85"/>
      <c r="E53" s="85"/>
      <c r="F53" s="86">
        <f>G52+L53</f>
        <v>18.949421767921166</v>
      </c>
      <c r="G53" s="46"/>
      <c r="H53" s="103">
        <f>G52-L53</f>
        <v>-19.10977311678701</v>
      </c>
      <c r="I53" s="103"/>
      <c r="J53" s="103"/>
      <c r="K53" s="241" t="s">
        <v>172</v>
      </c>
      <c r="L53" s="84">
        <f>'ANOVA -smaller-the-Better '!$G$34</f>
        <v>19.02959744235409</v>
      </c>
    </row>
    <row r="54" spans="1:12" ht="15">
      <c r="A54" s="46"/>
      <c r="B54" s="46"/>
      <c r="C54" s="46"/>
      <c r="D54" s="85"/>
      <c r="E54" s="85"/>
      <c r="F54" s="86"/>
      <c r="G54" s="46"/>
      <c r="H54" s="103"/>
      <c r="I54" s="103"/>
      <c r="J54" s="103"/>
      <c r="K54" s="104"/>
      <c r="L54" s="84"/>
    </row>
    <row r="55" spans="1:12" ht="36" customHeight="1">
      <c r="A55" s="46"/>
      <c r="B55" s="465" t="s">
        <v>120</v>
      </c>
      <c r="C55" s="465"/>
      <c r="D55" s="465"/>
      <c r="E55" s="85"/>
      <c r="F55" s="455">
        <f>POWER(10,-F53/20)</f>
        <v>0.11285710656147621</v>
      </c>
      <c r="G55" s="458" t="s">
        <v>91</v>
      </c>
      <c r="H55" s="455">
        <f>POWER(10,-H53/20)</f>
        <v>9.025861308053194</v>
      </c>
      <c r="I55" s="265"/>
      <c r="J55" s="265"/>
      <c r="K55" s="266" t="str">
        <f>CONCATENATE('Qual char &amp; S-N Ratio &amp;repeatNo'!$B$2)</f>
        <v>Defects</v>
      </c>
      <c r="L55" s="467">
        <f>POWER(10,-L52/20)</f>
        <v>1.0092732986917194</v>
      </c>
    </row>
    <row r="56" spans="1:12" ht="30" customHeight="1">
      <c r="A56" s="46"/>
      <c r="B56" s="465"/>
      <c r="C56" s="465"/>
      <c r="D56" s="465"/>
      <c r="E56" s="85"/>
      <c r="F56" s="456"/>
      <c r="G56" s="459"/>
      <c r="H56" s="456"/>
      <c r="I56" s="267"/>
      <c r="J56" s="267"/>
      <c r="K56" s="466" t="s">
        <v>173</v>
      </c>
      <c r="L56" s="467"/>
    </row>
    <row r="57" spans="1:12" ht="13.5" customHeight="1">
      <c r="A57" s="46"/>
      <c r="B57" s="465"/>
      <c r="C57" s="465"/>
      <c r="D57" s="465"/>
      <c r="E57" s="85"/>
      <c r="F57" s="457"/>
      <c r="G57" s="460"/>
      <c r="H57" s="457"/>
      <c r="I57" s="268"/>
      <c r="J57" s="268"/>
      <c r="K57" s="466"/>
      <c r="L57" s="467"/>
    </row>
    <row r="58" spans="1:12" ht="12.75">
      <c r="A58" s="46"/>
      <c r="B58" s="46"/>
      <c r="C58" s="46"/>
      <c r="D58" s="85"/>
      <c r="E58" s="85"/>
      <c r="F58" s="49"/>
      <c r="G58" s="46"/>
      <c r="H58" s="46"/>
      <c r="I58" s="85"/>
      <c r="J58" s="46"/>
      <c r="K58" s="46"/>
      <c r="L58" s="46"/>
    </row>
    <row r="59" spans="1:12" ht="12.75">
      <c r="A59" s="46"/>
      <c r="B59" s="46"/>
      <c r="C59" s="46"/>
      <c r="D59" s="85"/>
      <c r="E59" s="85"/>
      <c r="F59" s="49"/>
      <c r="G59" s="46"/>
      <c r="H59" s="46"/>
      <c r="I59" s="85"/>
      <c r="J59" s="46"/>
      <c r="K59" s="46"/>
      <c r="L59" s="46"/>
    </row>
    <row r="60" ht="12.75">
      <c r="F60" s="6"/>
    </row>
    <row r="62" spans="4:6" ht="12.75">
      <c r="D62" s="14"/>
      <c r="F62" s="14"/>
    </row>
  </sheetData>
  <sheetProtection password="F750" sheet="1" objects="1" scenarios="1"/>
  <mergeCells count="24">
    <mergeCell ref="AM3:AO3"/>
    <mergeCell ref="AQ3:AS3"/>
    <mergeCell ref="C40:E40"/>
    <mergeCell ref="B55:D57"/>
    <mergeCell ref="K56:K57"/>
    <mergeCell ref="AA3:AC3"/>
    <mergeCell ref="L55:L57"/>
    <mergeCell ref="F3:G3"/>
    <mergeCell ref="K3:M3"/>
    <mergeCell ref="W3:Y3"/>
    <mergeCell ref="AQ2:AS2"/>
    <mergeCell ref="AE2:AG2"/>
    <mergeCell ref="AI2:AK2"/>
    <mergeCell ref="AM2:AO2"/>
    <mergeCell ref="AA2:AC2"/>
    <mergeCell ref="O2:U2"/>
    <mergeCell ref="AE3:AG3"/>
    <mergeCell ref="AI3:AK3"/>
    <mergeCell ref="H55:H57"/>
    <mergeCell ref="F2:G2"/>
    <mergeCell ref="K2:M2"/>
    <mergeCell ref="W2:Y2"/>
    <mergeCell ref="F55:F57"/>
    <mergeCell ref="G55:G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R38"/>
  <sheetViews>
    <sheetView workbookViewId="0" topLeftCell="A1">
      <selection activeCell="F26" sqref="F26"/>
    </sheetView>
  </sheetViews>
  <sheetFormatPr defaultColWidth="9.140625" defaultRowHeight="12.75"/>
  <cols>
    <col min="2" max="2" width="33.8515625" style="0" customWidth="1"/>
    <col min="3" max="3" width="7.8515625" style="0" customWidth="1"/>
    <col min="4" max="4" width="9.7109375" style="0" customWidth="1"/>
    <col min="5" max="5" width="6.140625" style="0" customWidth="1"/>
    <col min="6" max="6" width="16.28125" style="0" customWidth="1"/>
    <col min="7" max="7" width="4.00390625" style="0" customWidth="1"/>
    <col min="8" max="8" width="21.7109375" style="0" customWidth="1"/>
    <col min="9" max="9" width="9.7109375" style="0" customWidth="1"/>
    <col min="10" max="10" width="3.421875" style="0" customWidth="1"/>
    <col min="11" max="11" width="7.7109375" style="0" customWidth="1"/>
    <col min="12" max="12" width="3.28125" style="0" customWidth="1"/>
    <col min="13" max="13" width="20.00390625" style="0" customWidth="1"/>
    <col min="14" max="14" width="11.28125" style="0" customWidth="1"/>
  </cols>
  <sheetData>
    <row r="1" spans="1:3" ht="27.75" customHeight="1">
      <c r="A1" s="468" t="s">
        <v>115</v>
      </c>
      <c r="B1" s="468"/>
      <c r="C1" s="38"/>
    </row>
    <row r="2" spans="1:3" ht="15">
      <c r="A2" s="38"/>
      <c r="B2" s="38"/>
      <c r="C2" s="38"/>
    </row>
    <row r="3" spans="1:3" ht="15.75">
      <c r="A3" s="31"/>
      <c r="B3" s="31"/>
      <c r="C3" s="31"/>
    </row>
    <row r="4" spans="1:3" ht="15.75">
      <c r="A4" s="31"/>
      <c r="B4" s="31"/>
      <c r="C4" s="31"/>
    </row>
    <row r="5" spans="3:5" ht="12.75">
      <c r="C5" s="369" t="str">
        <f>'ANOVA -smaller-the-Better '!B1</f>
        <v>LEVELS</v>
      </c>
      <c r="D5" s="369"/>
      <c r="E5" s="369"/>
    </row>
    <row r="6" spans="1:12" ht="12.75">
      <c r="A6" t="s">
        <v>113</v>
      </c>
      <c r="B6" t="str">
        <f>'ANOVA -smaller-the-Better '!A2</f>
        <v>CONTROL FACTORS \ LEVELS  </v>
      </c>
      <c r="C6">
        <f>'ANOVA -smaller-the-Better '!B2</f>
        <v>1</v>
      </c>
      <c r="D6">
        <f>'ANOVA -smaller-the-Better '!C2</f>
        <v>2</v>
      </c>
      <c r="E6">
        <f>'ANOVA -smaller-the-Better '!D2</f>
        <v>3</v>
      </c>
      <c r="L6" s="32"/>
    </row>
    <row r="7" spans="3:4" ht="12.75">
      <c r="C7" s="2"/>
      <c r="D7" s="2"/>
    </row>
    <row r="8" spans="1:5" ht="12.75">
      <c r="A8" s="2">
        <v>1</v>
      </c>
      <c r="B8" s="2" t="str">
        <f>'ANOVA -smaller-the-Better '!A4</f>
        <v>empty</v>
      </c>
      <c r="C8" s="17">
        <f>'ANOVA -smaller-the-Better '!$B$4</f>
        <v>-48.023613434391685</v>
      </c>
      <c r="D8" s="17">
        <f>'ANOVA -smaller-the-Better '!$C$4</f>
        <v>-42.703343586083406</v>
      </c>
      <c r="E8" s="17"/>
    </row>
    <row r="9" spans="1:5" ht="12.75">
      <c r="A9" s="2">
        <v>2</v>
      </c>
      <c r="B9" s="2" t="str">
        <f>'ANOVA -smaller-the-Better '!A5</f>
        <v>Temperature</v>
      </c>
      <c r="C9" s="17">
        <f>'ANOVA -smaller-the-Better '!$B$5</f>
        <v>-24.227495981941278</v>
      </c>
      <c r="D9" s="17">
        <f>'ANOVA -smaller-the-Better '!$C$5</f>
        <v>-50.10393898438165</v>
      </c>
      <c r="E9" s="17">
        <f>'ANOVA -smaller-the-Better '!$D$5</f>
        <v>-61.7590005643897</v>
      </c>
    </row>
    <row r="10" spans="1:5" ht="12.75">
      <c r="A10" s="2"/>
      <c r="B10" s="2"/>
      <c r="C10" s="17"/>
      <c r="D10" s="17"/>
      <c r="E10" s="17"/>
    </row>
    <row r="11" spans="1:5" ht="12.75">
      <c r="A11" s="2" t="s">
        <v>114</v>
      </c>
      <c r="B11" s="2" t="str">
        <f>'ANOVA -smaller-the-Better '!A6</f>
        <v>empty (1)  x Temperature (1,2,3)</v>
      </c>
      <c r="C11" s="17">
        <f>'ANOVA -smaller-the-Better '!B6</f>
        <v>-0.4327705845592078</v>
      </c>
      <c r="D11" s="17">
        <f>'ANOVA -smaller-the-Better '!C6</f>
        <v>2.5876417976882777</v>
      </c>
      <c r="E11" s="17">
        <f>'ANOVA -smaller-the-Better '!D6</f>
        <v>-2.1548712131290912</v>
      </c>
    </row>
    <row r="12" spans="1:5" ht="12.75">
      <c r="A12" s="2" t="s">
        <v>114</v>
      </c>
      <c r="B12" s="2" t="str">
        <f>'ANOVA -smaller-the-Better '!A7</f>
        <v>empty (2)  x Temperature (1,2,3)</v>
      </c>
      <c r="C12" s="17">
        <f>'ANOVA -smaller-the-Better '!B7</f>
        <v>0.4327705845592007</v>
      </c>
      <c r="D12" s="17">
        <f>'ANOVA -smaller-the-Better '!C7</f>
        <v>-2.587641797688299</v>
      </c>
      <c r="E12" s="17">
        <f>'ANOVA -smaller-the-Better '!D7</f>
        <v>2.154871213129084</v>
      </c>
    </row>
    <row r="13" spans="2:5" ht="12.75">
      <c r="B13" s="2"/>
      <c r="C13" s="17"/>
      <c r="D13" s="17"/>
      <c r="E13" s="17"/>
    </row>
    <row r="14" spans="2:5" ht="12.75">
      <c r="B14" s="2" t="str">
        <f>'ANOVA -smaller-the-Better '!A15</f>
        <v>Ov-Mean</v>
      </c>
      <c r="C14" s="17">
        <f>'ANOVA -smaller-the-Better '!B15</f>
        <v>-45.36347851023755</v>
      </c>
      <c r="D14" s="17">
        <f>'ANOVA -smaller-the-Better '!C15</f>
        <v>-45.36347851023755</v>
      </c>
      <c r="E14" s="17">
        <f>'ANOVA -smaller-the-Better '!D15</f>
        <v>-45.36347851023755</v>
      </c>
    </row>
    <row r="15" ht="12.75">
      <c r="B15" s="2"/>
    </row>
    <row r="16" ht="12.75">
      <c r="B16" s="2"/>
    </row>
    <row r="17" spans="2:15" ht="12.75">
      <c r="B17" s="39" t="s">
        <v>127</v>
      </c>
      <c r="D17" s="36" t="str">
        <f>CONCATENATE(('Control-NoIsE Factors &amp; Levels'!$C$4)," (1) ")</f>
        <v>empty (1) </v>
      </c>
      <c r="E17" s="35" t="s">
        <v>126</v>
      </c>
      <c r="F17" s="37" t="str">
        <f>CONCATENATE(('Control-NoIsE Factors &amp; Levels'!$C$5)," (1) ")</f>
        <v>Temperature (1) </v>
      </c>
      <c r="H17" t="s">
        <v>129</v>
      </c>
      <c r="I17" s="40" t="str">
        <f>'Qual char &amp; S-N Ratio &amp;repeatNo'!$B$2</f>
        <v>Defects</v>
      </c>
      <c r="J17" s="1" t="s">
        <v>131</v>
      </c>
      <c r="K17" s="41">
        <f>(C8-C14)+(C9-C14)+C11</f>
        <v>18.043077019582928</v>
      </c>
      <c r="L17" t="s">
        <v>128</v>
      </c>
      <c r="N17" s="10"/>
      <c r="O17" s="19"/>
    </row>
    <row r="18" spans="2:15" ht="12.75">
      <c r="B18" s="39" t="s">
        <v>127</v>
      </c>
      <c r="D18" s="36" t="str">
        <f>CONCATENATE(('Control-NoIsE Factors &amp; Levels'!$C$4)," (1) ")</f>
        <v>empty (1) </v>
      </c>
      <c r="E18" s="35" t="s">
        <v>126</v>
      </c>
      <c r="F18" s="37" t="str">
        <f>CONCATENATE(('Control-NoIsE Factors &amp; Levels'!$C$5)," (2) ")</f>
        <v>Temperature (2) </v>
      </c>
      <c r="H18" t="s">
        <v>129</v>
      </c>
      <c r="I18" s="40" t="str">
        <f>'Qual char &amp; S-N Ratio &amp;repeatNo'!$B$2</f>
        <v>Defects</v>
      </c>
      <c r="J18" s="1" t="s">
        <v>131</v>
      </c>
      <c r="K18" s="41">
        <f>(C8-C14)+(D9-D14)+D11</f>
        <v>-4.8129536006099585</v>
      </c>
      <c r="L18" t="s">
        <v>128</v>
      </c>
      <c r="N18" s="10"/>
      <c r="O18" s="19"/>
    </row>
    <row r="19" spans="2:15" ht="12.75">
      <c r="B19" s="39" t="s">
        <v>127</v>
      </c>
      <c r="D19" s="36" t="str">
        <f>CONCATENATE(('Control-NoIsE Factors &amp; Levels'!$C$4)," (1) ")</f>
        <v>empty (1) </v>
      </c>
      <c r="E19" s="35" t="s">
        <v>126</v>
      </c>
      <c r="F19" s="37" t="str">
        <f>CONCATENATE(('Control-NoIsE Factors &amp; Levels'!$C$5)," (3) ")</f>
        <v>Temperature (3) </v>
      </c>
      <c r="H19" t="s">
        <v>129</v>
      </c>
      <c r="I19" s="40" t="str">
        <f>'Qual char &amp; S-N Ratio &amp;repeatNo'!$B$2</f>
        <v>Defects</v>
      </c>
      <c r="J19" s="1" t="s">
        <v>131</v>
      </c>
      <c r="K19" s="41">
        <f>(C8-C14)+(E9-E14)+E11</f>
        <v>-21.21052819143538</v>
      </c>
      <c r="L19" t="s">
        <v>128</v>
      </c>
      <c r="N19" s="10"/>
      <c r="O19" s="19"/>
    </row>
    <row r="20" spans="2:15" ht="12.75">
      <c r="B20" s="39"/>
      <c r="D20" s="36"/>
      <c r="E20" s="35"/>
      <c r="F20" s="37"/>
      <c r="I20" s="40"/>
      <c r="J20" s="1" t="s">
        <v>131</v>
      </c>
      <c r="K20" s="42"/>
      <c r="N20" s="10"/>
      <c r="O20" s="2"/>
    </row>
    <row r="21" spans="2:15" ht="12.75">
      <c r="B21" s="39" t="s">
        <v>127</v>
      </c>
      <c r="D21" s="36" t="str">
        <f>CONCATENATE(('Control-NoIsE Factors &amp; Levels'!$C$4)," (2) ")</f>
        <v>empty (2) </v>
      </c>
      <c r="E21" s="35" t="s">
        <v>126</v>
      </c>
      <c r="F21" s="37" t="str">
        <f>CONCATENATE(('Control-NoIsE Factors &amp; Levels'!$C$5)," (1) ")</f>
        <v>Temperature (1) </v>
      </c>
      <c r="H21" t="s">
        <v>129</v>
      </c>
      <c r="I21" s="40" t="str">
        <f>'Qual char &amp; S-N Ratio &amp;repeatNo'!$B$2</f>
        <v>Defects</v>
      </c>
      <c r="J21" s="1" t="s">
        <v>131</v>
      </c>
      <c r="K21" s="41">
        <f>(D8-D14)+(C9-C14)+C12</f>
        <v>24.228888037009614</v>
      </c>
      <c r="L21" t="s">
        <v>128</v>
      </c>
      <c r="N21" s="10"/>
      <c r="O21" s="19"/>
    </row>
    <row r="22" spans="2:15" ht="12.75">
      <c r="B22" s="39" t="s">
        <v>127</v>
      </c>
      <c r="D22" s="36" t="str">
        <f>CONCATENATE(('Control-NoIsE Factors &amp; Levels'!$C$4)," (2) ")</f>
        <v>empty (2) </v>
      </c>
      <c r="E22" s="35" t="s">
        <v>126</v>
      </c>
      <c r="F22" s="37" t="str">
        <f>CONCATENATE(('Control-NoIsE Factors &amp; Levels'!$C$5)," (2) ")</f>
        <v>Temperature (2) </v>
      </c>
      <c r="H22" t="s">
        <v>129</v>
      </c>
      <c r="I22" s="40" t="str">
        <f>'Qual char &amp; S-N Ratio &amp;repeatNo'!$B$2</f>
        <v>Defects</v>
      </c>
      <c r="J22" s="1" t="s">
        <v>131</v>
      </c>
      <c r="K22" s="41">
        <f>(D8-D14)+(D9-D14)+D12</f>
        <v>-4.667967347678257</v>
      </c>
      <c r="L22" t="s">
        <v>128</v>
      </c>
      <c r="N22" s="10"/>
      <c r="O22" s="19"/>
    </row>
    <row r="23" spans="2:15" ht="12.75">
      <c r="B23" s="39" t="s">
        <v>127</v>
      </c>
      <c r="D23" s="36" t="str">
        <f>CONCATENATE(('Control-NoIsE Factors &amp; Levels'!$C$4)," (2) ")</f>
        <v>empty (2) </v>
      </c>
      <c r="E23" s="35" t="s">
        <v>126</v>
      </c>
      <c r="F23" s="37" t="str">
        <f>CONCATENATE(('Control-NoIsE Factors &amp; Levels'!$C$5)," (3) ")</f>
        <v>Temperature (3) </v>
      </c>
      <c r="H23" t="s">
        <v>129</v>
      </c>
      <c r="I23" s="40" t="str">
        <f>'Qual char &amp; S-N Ratio &amp;repeatNo'!$B$2</f>
        <v>Defects</v>
      </c>
      <c r="J23" s="1" t="s">
        <v>131</v>
      </c>
      <c r="K23" s="41">
        <f>(D8-D14)+(E9-E14)+E12</f>
        <v>-11.580515916868926</v>
      </c>
      <c r="L23" t="s">
        <v>128</v>
      </c>
      <c r="N23" s="10"/>
      <c r="O23" s="19"/>
    </row>
    <row r="24" spans="2:11" ht="12.75">
      <c r="B24" s="2"/>
      <c r="C24" s="30"/>
      <c r="K24" s="34"/>
    </row>
    <row r="25" spans="2:18" ht="12.75">
      <c r="B25" s="2"/>
      <c r="C25" s="3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0"/>
    </row>
    <row r="26" spans="2:18" ht="12.75">
      <c r="B26" s="2"/>
      <c r="C26" s="17"/>
      <c r="D26" s="17"/>
      <c r="E26" s="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0"/>
    </row>
    <row r="27" spans="2:18" ht="12.75">
      <c r="B27" s="2"/>
      <c r="C27" s="17"/>
      <c r="D27" s="17"/>
      <c r="E27" s="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0"/>
    </row>
    <row r="28" spans="2:18" ht="12.75">
      <c r="B28" s="2"/>
      <c r="C28" s="3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0"/>
    </row>
    <row r="29" spans="2:18" ht="12.75">
      <c r="B29" s="2"/>
      <c r="C29" s="3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0"/>
    </row>
    <row r="30" spans="2:18" ht="12.75">
      <c r="B30" s="2"/>
      <c r="C30" s="3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0"/>
    </row>
    <row r="31" spans="2:18" ht="12.75">
      <c r="B31" s="2"/>
      <c r="C31" s="3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0"/>
    </row>
    <row r="32" spans="2:3" ht="12.75">
      <c r="B32" s="2"/>
      <c r="C32" s="30"/>
    </row>
    <row r="33" spans="2:3" ht="12.75">
      <c r="B33" s="2"/>
      <c r="C33" s="30"/>
    </row>
    <row r="34" spans="2:3" ht="12.75">
      <c r="B34" s="2"/>
      <c r="C34" s="30"/>
    </row>
    <row r="35" spans="2:3" ht="12.75">
      <c r="B35" s="2"/>
      <c r="C35" s="30"/>
    </row>
    <row r="36" spans="2:3" ht="12.75">
      <c r="B36" s="2"/>
      <c r="C36" s="30"/>
    </row>
    <row r="37" spans="2:3" ht="12.75">
      <c r="B37" s="2"/>
      <c r="C37" s="30"/>
    </row>
    <row r="38" spans="2:3" ht="12.75">
      <c r="B38" s="2"/>
      <c r="C38" s="30"/>
    </row>
  </sheetData>
  <sheetProtection password="F750" sheet="1" objects="1" scenarios="1"/>
  <mergeCells count="2">
    <mergeCell ref="A1:B1"/>
    <mergeCell ref="C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30"/>
  <sheetViews>
    <sheetView workbookViewId="0" topLeftCell="A1">
      <selection activeCell="F3" sqref="F3"/>
    </sheetView>
  </sheetViews>
  <sheetFormatPr defaultColWidth="9.140625" defaultRowHeight="12.75"/>
  <cols>
    <col min="1" max="1" width="59.00390625" style="0" customWidth="1"/>
    <col min="2" max="2" width="15.421875" style="0" customWidth="1"/>
    <col min="4" max="4" width="11.140625" style="0" customWidth="1"/>
    <col min="6" max="6" width="10.7109375" style="0" customWidth="1"/>
  </cols>
  <sheetData>
    <row r="1" spans="1:12" ht="12.75">
      <c r="A1" s="342" t="s">
        <v>221</v>
      </c>
      <c r="B1" s="343"/>
      <c r="C1" s="343"/>
      <c r="D1" s="343"/>
      <c r="E1" s="343"/>
      <c r="F1" s="341"/>
      <c r="G1" s="127"/>
      <c r="H1" s="8"/>
      <c r="I1" s="8"/>
      <c r="J1" s="8"/>
      <c r="K1" s="8"/>
      <c r="L1" s="8"/>
    </row>
    <row r="2" spans="1:7" ht="12.75">
      <c r="A2" s="121"/>
      <c r="B2" s="106"/>
      <c r="C2" s="106"/>
      <c r="D2" s="106"/>
      <c r="E2" s="106"/>
      <c r="F2" s="106"/>
      <c r="G2" s="106"/>
    </row>
    <row r="3" spans="1:7" ht="12.75">
      <c r="A3" s="250" t="s">
        <v>103</v>
      </c>
      <c r="B3" s="106"/>
      <c r="C3" s="106"/>
      <c r="D3" s="106"/>
      <c r="E3" s="106"/>
      <c r="F3" s="106"/>
      <c r="G3" s="106"/>
    </row>
    <row r="4" spans="1:7" ht="12.75">
      <c r="A4" s="121"/>
      <c r="B4" s="105" t="s">
        <v>11</v>
      </c>
      <c r="C4" s="105"/>
      <c r="D4" s="105" t="s">
        <v>12</v>
      </c>
      <c r="E4" s="105"/>
      <c r="F4" s="105"/>
      <c r="G4" s="105"/>
    </row>
    <row r="5" spans="1:7" ht="26.25" customHeight="1">
      <c r="A5" s="108"/>
      <c r="B5" s="251" t="s">
        <v>216</v>
      </c>
      <c r="C5" s="105"/>
      <c r="D5" s="306">
        <f ca="1">TODAY()</f>
        <v>39229</v>
      </c>
      <c r="E5" s="105"/>
      <c r="F5" s="105"/>
      <c r="G5" s="105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 customHeight="1">
      <c r="A7" s="185" t="s">
        <v>13</v>
      </c>
      <c r="B7" s="364" t="s">
        <v>218</v>
      </c>
      <c r="C7" s="364"/>
      <c r="D7" s="364"/>
      <c r="E7" s="364"/>
      <c r="F7" s="364"/>
      <c r="G7" s="364"/>
    </row>
    <row r="8" spans="1:7" ht="30.75" customHeight="1">
      <c r="A8" s="185"/>
      <c r="B8" s="364"/>
      <c r="C8" s="364"/>
      <c r="D8" s="364"/>
      <c r="E8" s="364"/>
      <c r="F8" s="364"/>
      <c r="G8" s="364"/>
    </row>
    <row r="9" spans="1:7" ht="6" customHeight="1">
      <c r="A9" s="186"/>
      <c r="B9" s="105"/>
      <c r="C9" s="105"/>
      <c r="D9" s="105"/>
      <c r="E9" s="105"/>
      <c r="F9" s="105"/>
      <c r="G9" s="105"/>
    </row>
    <row r="10" spans="1:7" ht="28.5" customHeight="1">
      <c r="A10" s="188" t="s">
        <v>140</v>
      </c>
      <c r="B10" s="365" t="s">
        <v>219</v>
      </c>
      <c r="C10" s="365"/>
      <c r="D10" s="365"/>
      <c r="E10" s="365"/>
      <c r="F10" s="365"/>
      <c r="G10" s="365"/>
    </row>
    <row r="11" spans="1:7" ht="12" customHeight="1">
      <c r="A11" s="185"/>
      <c r="B11" s="365"/>
      <c r="C11" s="365"/>
      <c r="D11" s="365"/>
      <c r="E11" s="365"/>
      <c r="F11" s="365"/>
      <c r="G11" s="365"/>
    </row>
    <row r="12" spans="1:7" ht="6" customHeight="1">
      <c r="A12" s="186"/>
      <c r="B12" s="105"/>
      <c r="C12" s="105"/>
      <c r="D12" s="105"/>
      <c r="E12" s="105"/>
      <c r="F12" s="105"/>
      <c r="G12" s="105"/>
    </row>
    <row r="13" spans="1:7" ht="18" customHeight="1">
      <c r="A13" s="189" t="s">
        <v>14</v>
      </c>
      <c r="B13" s="363" t="s">
        <v>217</v>
      </c>
      <c r="C13" s="363"/>
      <c r="D13" s="363"/>
      <c r="E13" s="363"/>
      <c r="F13" s="363"/>
      <c r="G13" s="363"/>
    </row>
    <row r="14" spans="1:7" ht="12.75">
      <c r="A14" s="105"/>
      <c r="B14" s="363"/>
      <c r="C14" s="363"/>
      <c r="D14" s="363"/>
      <c r="E14" s="363"/>
      <c r="F14" s="363"/>
      <c r="G14" s="363"/>
    </row>
    <row r="15" spans="1:7" ht="18" customHeight="1">
      <c r="A15" s="185"/>
      <c r="B15" s="363"/>
      <c r="C15" s="363"/>
      <c r="D15" s="363"/>
      <c r="E15" s="363"/>
      <c r="F15" s="363"/>
      <c r="G15" s="363"/>
    </row>
    <row r="16" spans="1:7" ht="12.75">
      <c r="A16" s="186"/>
      <c r="B16" s="363"/>
      <c r="C16" s="363"/>
      <c r="D16" s="363"/>
      <c r="E16" s="363"/>
      <c r="F16" s="363"/>
      <c r="G16" s="363"/>
    </row>
    <row r="17" spans="1:7" ht="12.75">
      <c r="A17" s="186"/>
      <c r="B17" s="105"/>
      <c r="C17" s="105"/>
      <c r="D17" s="105"/>
      <c r="E17" s="105"/>
      <c r="F17" s="105"/>
      <c r="G17" s="105"/>
    </row>
    <row r="18" spans="1:7" ht="5.25" customHeight="1">
      <c r="A18" s="186"/>
      <c r="B18" s="105"/>
      <c r="C18" s="105"/>
      <c r="D18" s="105"/>
      <c r="E18" s="105"/>
      <c r="F18" s="105"/>
      <c r="G18" s="105"/>
    </row>
    <row r="19" spans="1:7" ht="43.5" customHeight="1">
      <c r="A19" s="185" t="s">
        <v>15</v>
      </c>
      <c r="B19" s="363" t="s">
        <v>146</v>
      </c>
      <c r="C19" s="363"/>
      <c r="D19" s="363"/>
      <c r="E19" s="363"/>
      <c r="F19" s="363"/>
      <c r="G19" s="363"/>
    </row>
    <row r="20" spans="1:7" ht="5.25" customHeight="1">
      <c r="A20" s="185"/>
      <c r="B20" s="198"/>
      <c r="C20" s="198"/>
      <c r="D20" s="198"/>
      <c r="E20" s="198"/>
      <c r="F20" s="198"/>
      <c r="G20" s="198"/>
    </row>
    <row r="21" spans="1:7" ht="84" customHeight="1">
      <c r="A21" s="200" t="s">
        <v>145</v>
      </c>
      <c r="B21" s="366" t="s">
        <v>212</v>
      </c>
      <c r="C21" s="367"/>
      <c r="D21" s="367"/>
      <c r="E21" s="367"/>
      <c r="F21" s="367"/>
      <c r="G21" s="367"/>
    </row>
    <row r="22" spans="1:7" ht="9.75" customHeight="1">
      <c r="A22" s="126"/>
      <c r="B22" s="105"/>
      <c r="C22" s="105"/>
      <c r="D22" s="105"/>
      <c r="E22" s="105"/>
      <c r="F22" s="105"/>
      <c r="G22" s="105"/>
    </row>
    <row r="23" spans="1:7" ht="12.75">
      <c r="A23" s="362" t="s">
        <v>139</v>
      </c>
      <c r="B23" s="105"/>
      <c r="C23" s="105"/>
      <c r="D23" s="105"/>
      <c r="E23" s="105"/>
      <c r="F23" s="105"/>
      <c r="G23" s="105"/>
    </row>
    <row r="24" spans="1:7" ht="12.75">
      <c r="A24" s="362"/>
      <c r="B24" s="105"/>
      <c r="C24" s="105"/>
      <c r="D24" s="105"/>
      <c r="E24" s="105"/>
      <c r="F24" s="105"/>
      <c r="G24" s="105"/>
    </row>
    <row r="25" spans="1:7" ht="12.75">
      <c r="A25" s="105"/>
      <c r="B25" s="105"/>
      <c r="C25" s="105"/>
      <c r="D25" s="105"/>
      <c r="E25" s="105"/>
      <c r="F25" s="105"/>
      <c r="G25" s="105"/>
    </row>
    <row r="26" spans="1:7" ht="12.75">
      <c r="A26" s="187" t="s">
        <v>208</v>
      </c>
      <c r="B26" s="105"/>
      <c r="C26" s="105"/>
      <c r="D26" s="105"/>
      <c r="E26" s="105"/>
      <c r="F26" s="105"/>
      <c r="G26" s="105"/>
    </row>
    <row r="27" ht="12.75">
      <c r="A27" s="7"/>
    </row>
    <row r="28" ht="12.75">
      <c r="A28" s="7"/>
    </row>
    <row r="29" spans="1:12" ht="12.75">
      <c r="A29" s="7"/>
      <c r="B29" s="8"/>
      <c r="C29" s="8"/>
      <c r="D29" s="8"/>
      <c r="E29" s="8"/>
      <c r="F29" s="8"/>
      <c r="G29" s="3"/>
      <c r="H29" s="3"/>
      <c r="I29" s="3"/>
      <c r="J29" s="3"/>
      <c r="K29" s="3"/>
      <c r="L29" s="3"/>
    </row>
    <row r="30" ht="12.75">
      <c r="A30" s="5"/>
    </row>
  </sheetData>
  <sheetProtection password="F750" sheet="1" objects="1" scenarios="1"/>
  <mergeCells count="7">
    <mergeCell ref="A1:F1"/>
    <mergeCell ref="A23:A24"/>
    <mergeCell ref="B19:G19"/>
    <mergeCell ref="B7:G8"/>
    <mergeCell ref="B10:G11"/>
    <mergeCell ref="B13:G16"/>
    <mergeCell ref="B21:G2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N21"/>
  <sheetViews>
    <sheetView workbookViewId="0" topLeftCell="A1">
      <selection activeCell="I1" sqref="I1"/>
    </sheetView>
  </sheetViews>
  <sheetFormatPr defaultColWidth="9.140625" defaultRowHeight="12.75"/>
  <cols>
    <col min="1" max="1" width="2.57421875" style="0" customWidth="1"/>
    <col min="2" max="2" width="19.57421875" style="8" customWidth="1"/>
    <col min="3" max="3" width="17.28125" style="8" customWidth="1"/>
    <col min="4" max="4" width="16.28125" style="8" customWidth="1"/>
    <col min="5" max="5" width="16.7109375" style="8" customWidth="1"/>
    <col min="6" max="6" width="6.00390625" style="8" customWidth="1"/>
    <col min="7" max="7" width="26.140625" style="8" customWidth="1"/>
    <col min="8" max="8" width="30.7109375" style="0" customWidth="1"/>
  </cols>
  <sheetData>
    <row r="1" spans="2:8" s="202" customFormat="1" ht="49.5" customHeight="1">
      <c r="B1" s="220" t="s">
        <v>0</v>
      </c>
      <c r="C1" s="221" t="s">
        <v>16</v>
      </c>
      <c r="D1" s="221" t="s">
        <v>17</v>
      </c>
      <c r="E1" s="221" t="s">
        <v>18</v>
      </c>
      <c r="F1" s="221" t="s">
        <v>24</v>
      </c>
      <c r="G1" s="222" t="s">
        <v>163</v>
      </c>
      <c r="H1" s="222" t="s">
        <v>164</v>
      </c>
    </row>
    <row r="2" spans="2:9" ht="51.75" customHeight="1">
      <c r="B2" s="307" t="s">
        <v>184</v>
      </c>
      <c r="C2" s="307" t="s">
        <v>108</v>
      </c>
      <c r="D2" s="307"/>
      <c r="E2" s="307"/>
      <c r="F2" s="307"/>
      <c r="G2" s="309">
        <f>'Experimenter''s Log "L18-ARRAY"'!R3</f>
        <v>9</v>
      </c>
      <c r="H2" s="308">
        <v>5</v>
      </c>
      <c r="I2" s="201">
        <f>IF(H2&gt;3,"","Warning : number of repeats/samples/measurements for each expt must be 4-9")</f>
      </c>
    </row>
    <row r="3" spans="2:7" ht="12.75">
      <c r="B3" s="184"/>
      <c r="C3" s="183"/>
      <c r="D3" s="183"/>
      <c r="E3" s="183"/>
      <c r="F3" s="183"/>
      <c r="G3" s="183"/>
    </row>
    <row r="4" spans="2:8" ht="20.25">
      <c r="B4" s="106"/>
      <c r="C4" s="106"/>
      <c r="D4" s="106"/>
      <c r="E4" s="106"/>
      <c r="F4" s="106"/>
      <c r="G4" s="106"/>
      <c r="H4" s="219"/>
    </row>
    <row r="5" spans="2:8" ht="20.25">
      <c r="B5" s="106"/>
      <c r="C5" s="106"/>
      <c r="D5" s="106"/>
      <c r="E5" s="106"/>
      <c r="F5" s="106"/>
      <c r="G5" s="106"/>
      <c r="H5" s="219"/>
    </row>
    <row r="6" spans="2:8" ht="25.5" customHeight="1">
      <c r="B6" s="372" t="s">
        <v>122</v>
      </c>
      <c r="C6" s="371" t="s">
        <v>116</v>
      </c>
      <c r="D6" s="371"/>
      <c r="E6" s="371"/>
      <c r="F6" s="192"/>
      <c r="G6" s="370" t="s">
        <v>211</v>
      </c>
      <c r="H6" s="368" t="s">
        <v>165</v>
      </c>
    </row>
    <row r="7" spans="2:8" ht="25.5">
      <c r="B7" s="372"/>
      <c r="C7" s="371"/>
      <c r="D7" s="371"/>
      <c r="E7" s="371"/>
      <c r="F7" s="192"/>
      <c r="G7" s="370"/>
      <c r="H7" s="368"/>
    </row>
    <row r="8" spans="2:8" ht="25.5">
      <c r="B8" s="372"/>
      <c r="C8" s="371"/>
      <c r="D8" s="371"/>
      <c r="E8" s="371"/>
      <c r="F8" s="192"/>
      <c r="G8" s="370"/>
      <c r="H8" s="368"/>
    </row>
    <row r="9" spans="2:8" ht="25.5">
      <c r="B9" s="372"/>
      <c r="C9" s="371"/>
      <c r="D9" s="371"/>
      <c r="E9" s="371"/>
      <c r="F9" s="192"/>
      <c r="G9" s="370"/>
      <c r="H9" s="368"/>
    </row>
    <row r="14" spans="2:14" ht="12.75" hidden="1">
      <c r="B14" s="369" t="s">
        <v>138</v>
      </c>
      <c r="C14" s="369"/>
      <c r="D14" s="369"/>
      <c r="E14" s="369"/>
      <c r="F14" s="369"/>
      <c r="G14" s="369"/>
      <c r="H14" s="8"/>
      <c r="I14" s="8"/>
      <c r="J14" s="8"/>
      <c r="K14" s="8"/>
      <c r="L14" s="8"/>
      <c r="M14" s="8"/>
      <c r="N14" s="8"/>
    </row>
    <row r="21" ht="12.75">
      <c r="G21" s="3"/>
    </row>
  </sheetData>
  <sheetProtection password="F750" sheet="1" objects="1" scenarios="1"/>
  <mergeCells count="5">
    <mergeCell ref="H6:H9"/>
    <mergeCell ref="B14:G14"/>
    <mergeCell ref="G6:G9"/>
    <mergeCell ref="C6:E9"/>
    <mergeCell ref="B6:B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R50"/>
  <sheetViews>
    <sheetView workbookViewId="0" topLeftCell="A1">
      <selection activeCell="N40" sqref="N40"/>
    </sheetView>
  </sheetViews>
  <sheetFormatPr defaultColWidth="9.140625" defaultRowHeight="12.75"/>
  <cols>
    <col min="1" max="1" width="5.28125" style="0" customWidth="1"/>
    <col min="2" max="2" width="10.00390625" style="2" customWidth="1"/>
    <col min="3" max="3" width="33.28125" style="0" customWidth="1"/>
    <col min="4" max="5" width="19.421875" style="0" customWidth="1"/>
    <col min="6" max="6" width="17.7109375" style="0" customWidth="1"/>
    <col min="7" max="11" width="4.140625" style="0" hidden="1" customWidth="1"/>
    <col min="12" max="12" width="3.00390625" style="0" hidden="1" customWidth="1"/>
    <col min="13" max="13" width="2.00390625" style="0" hidden="1" customWidth="1"/>
    <col min="14" max="14" width="19.57421875" style="0" customWidth="1"/>
    <col min="15" max="15" width="25.7109375" style="0" customWidth="1"/>
  </cols>
  <sheetData>
    <row r="1" spans="3:13" ht="12.75">
      <c r="C1" s="194"/>
      <c r="D1" s="194"/>
      <c r="E1" s="195" t="s">
        <v>19</v>
      </c>
      <c r="F1" s="194"/>
      <c r="G1" s="56"/>
      <c r="H1" s="56"/>
      <c r="I1" s="56"/>
      <c r="J1" s="56"/>
      <c r="K1" s="56"/>
      <c r="L1" s="56"/>
      <c r="M1" s="56"/>
    </row>
    <row r="2" spans="2:18" ht="12.75" customHeight="1">
      <c r="B2" s="269" t="s">
        <v>113</v>
      </c>
      <c r="C2" s="196" t="s">
        <v>130</v>
      </c>
      <c r="D2" s="195">
        <v>1</v>
      </c>
      <c r="E2" s="195">
        <v>2</v>
      </c>
      <c r="F2" s="195">
        <v>3</v>
      </c>
      <c r="G2" s="271"/>
      <c r="H2" s="271"/>
      <c r="I2" s="271"/>
      <c r="J2" s="271"/>
      <c r="K2" s="271"/>
      <c r="L2" s="271"/>
      <c r="M2" s="271"/>
      <c r="O2" s="373" t="s">
        <v>143</v>
      </c>
      <c r="P2" s="374"/>
      <c r="Q2" s="375"/>
      <c r="R2" s="242"/>
    </row>
    <row r="3" spans="2:18" ht="12.75" customHeight="1">
      <c r="B3" s="270"/>
      <c r="C3" s="197"/>
      <c r="D3" s="197"/>
      <c r="E3" s="197"/>
      <c r="F3" s="197"/>
      <c r="G3" s="85"/>
      <c r="H3" s="85"/>
      <c r="I3" s="85"/>
      <c r="J3" s="85"/>
      <c r="K3" s="85"/>
      <c r="L3" s="85"/>
      <c r="M3" s="85"/>
      <c r="O3" s="376"/>
      <c r="P3" s="377"/>
      <c r="Q3" s="378"/>
      <c r="R3" s="242"/>
    </row>
    <row r="4" spans="2:18" ht="12.75" customHeight="1">
      <c r="B4" s="270">
        <v>1</v>
      </c>
      <c r="C4" s="469" t="s">
        <v>96</v>
      </c>
      <c r="D4" s="469" t="str">
        <f>IF(OR(C4="-",C4="empty"),CONCATENATE(C4,""),CONCATENATE(LEFT(PROPER(C4)),1))</f>
        <v>empty</v>
      </c>
      <c r="E4" s="469" t="str">
        <f>IF(OR(C4="-",C4="empty"),CONCATENATE(C4,""),CONCATENATE(LEFT(PROPER(C4)),2))</f>
        <v>empty</v>
      </c>
      <c r="F4" s="469"/>
      <c r="G4" s="272"/>
      <c r="H4" s="272"/>
      <c r="I4" s="272"/>
      <c r="J4" s="272"/>
      <c r="K4" s="272"/>
      <c r="L4" s="272"/>
      <c r="M4" s="272"/>
      <c r="O4" s="376"/>
      <c r="P4" s="377"/>
      <c r="Q4" s="378"/>
      <c r="R4" s="242"/>
    </row>
    <row r="5" spans="2:17" ht="12.75" customHeight="1">
      <c r="B5" s="270">
        <f>1+B4</f>
        <v>2</v>
      </c>
      <c r="C5" s="469" t="s">
        <v>47</v>
      </c>
      <c r="D5" s="469" t="str">
        <f>IF(OR(C5="-",C5="empty"),CONCATENATE(C5,""),CONCATENATE(LEFT(PROPER(C5)),1))</f>
        <v>T1</v>
      </c>
      <c r="E5" s="469" t="str">
        <f aca="true" t="shared" si="0" ref="E5:E11">IF(OR(C5="-",C5="empty"),CONCATENATE(C5,""),CONCATENATE(LEFT(PROPER(C5)),2))</f>
        <v>T2</v>
      </c>
      <c r="F5" s="469" t="str">
        <f>IF(OR(C5="-",C5="empty"),CONCATENATE(C5,""),CONCATENATE(LEFT(PROPER(C5)),3))</f>
        <v>T3</v>
      </c>
      <c r="G5" s="272"/>
      <c r="H5" s="272"/>
      <c r="I5" s="272"/>
      <c r="J5" s="272"/>
      <c r="K5" s="272"/>
      <c r="L5" s="272"/>
      <c r="M5" s="272"/>
      <c r="O5" s="376"/>
      <c r="P5" s="377"/>
      <c r="Q5" s="378"/>
    </row>
    <row r="6" spans="2:17" ht="12.75" customHeight="1">
      <c r="B6" s="270">
        <f aca="true" t="shared" si="1" ref="B6:B11">1+B5</f>
        <v>3</v>
      </c>
      <c r="C6" s="469" t="s">
        <v>48</v>
      </c>
      <c r="D6" s="469" t="str">
        <f aca="true" t="shared" si="2" ref="D6:D11">IF(OR(C6="-",C6="empty"),CONCATENATE(C6,""),CONCATENATE(LEFT(PROPER(C6)),1))</f>
        <v>P1</v>
      </c>
      <c r="E6" s="469" t="str">
        <f t="shared" si="0"/>
        <v>P2</v>
      </c>
      <c r="F6" s="469" t="str">
        <f aca="true" t="shared" si="3" ref="F6:F11">IF(OR(C6="-",C6="empty"),CONCATENATE(C6,""),CONCATENATE(LEFT(PROPER(C6)),3))</f>
        <v>P3</v>
      </c>
      <c r="G6" s="272"/>
      <c r="H6" s="272"/>
      <c r="I6" s="272"/>
      <c r="J6" s="272"/>
      <c r="K6" s="272"/>
      <c r="L6" s="272"/>
      <c r="M6" s="272"/>
      <c r="O6" s="376"/>
      <c r="P6" s="377"/>
      <c r="Q6" s="378"/>
    </row>
    <row r="7" spans="2:17" ht="12.75" customHeight="1">
      <c r="B7" s="270">
        <f t="shared" si="1"/>
        <v>4</v>
      </c>
      <c r="C7" s="469" t="s">
        <v>49</v>
      </c>
      <c r="D7" s="469" t="str">
        <f t="shared" si="2"/>
        <v>N1</v>
      </c>
      <c r="E7" s="469" t="str">
        <f t="shared" si="0"/>
        <v>N2</v>
      </c>
      <c r="F7" s="469" t="str">
        <f t="shared" si="3"/>
        <v>N3</v>
      </c>
      <c r="G7" s="272"/>
      <c r="H7" s="272"/>
      <c r="I7" s="272"/>
      <c r="J7" s="272"/>
      <c r="K7" s="272"/>
      <c r="L7" s="272"/>
      <c r="M7" s="272"/>
      <c r="O7" s="376"/>
      <c r="P7" s="377"/>
      <c r="Q7" s="378"/>
    </row>
    <row r="8" spans="2:17" ht="12.75" customHeight="1">
      <c r="B8" s="270">
        <f t="shared" si="1"/>
        <v>5</v>
      </c>
      <c r="C8" s="469" t="s">
        <v>50</v>
      </c>
      <c r="D8" s="469" t="str">
        <f t="shared" si="2"/>
        <v>S1</v>
      </c>
      <c r="E8" s="469" t="str">
        <f t="shared" si="0"/>
        <v>S2</v>
      </c>
      <c r="F8" s="469" t="str">
        <f t="shared" si="3"/>
        <v>S3</v>
      </c>
      <c r="G8" s="272"/>
      <c r="H8" s="272"/>
      <c r="I8" s="272"/>
      <c r="J8" s="272"/>
      <c r="K8" s="272"/>
      <c r="L8" s="272"/>
      <c r="M8" s="272"/>
      <c r="O8" s="376"/>
      <c r="P8" s="377"/>
      <c r="Q8" s="378"/>
    </row>
    <row r="9" spans="2:17" ht="12.75" customHeight="1">
      <c r="B9" s="270">
        <f t="shared" si="1"/>
        <v>6</v>
      </c>
      <c r="C9" s="469" t="s">
        <v>77</v>
      </c>
      <c r="D9" s="469" t="str">
        <f t="shared" si="2"/>
        <v>I1</v>
      </c>
      <c r="E9" s="469" t="str">
        <f t="shared" si="0"/>
        <v>I2</v>
      </c>
      <c r="F9" s="469" t="str">
        <f t="shared" si="3"/>
        <v>I3</v>
      </c>
      <c r="G9" s="272"/>
      <c r="H9" s="272"/>
      <c r="I9" s="272"/>
      <c r="J9" s="272"/>
      <c r="K9" s="272"/>
      <c r="L9" s="272"/>
      <c r="M9" s="272"/>
      <c r="O9" s="376"/>
      <c r="P9" s="377"/>
      <c r="Q9" s="378"/>
    </row>
    <row r="10" spans="2:17" ht="12.75" customHeight="1">
      <c r="B10" s="270">
        <f t="shared" si="1"/>
        <v>7</v>
      </c>
      <c r="C10" s="470" t="s">
        <v>110</v>
      </c>
      <c r="D10" s="469" t="str">
        <f t="shared" si="2"/>
        <v>-</v>
      </c>
      <c r="E10" s="469" t="str">
        <f t="shared" si="0"/>
        <v>-</v>
      </c>
      <c r="F10" s="469" t="str">
        <f t="shared" si="3"/>
        <v>-</v>
      </c>
      <c r="G10" s="272"/>
      <c r="H10" s="272"/>
      <c r="I10" s="272"/>
      <c r="J10" s="272"/>
      <c r="K10" s="272"/>
      <c r="L10" s="272"/>
      <c r="M10" s="272"/>
      <c r="O10" s="376"/>
      <c r="P10" s="377"/>
      <c r="Q10" s="378"/>
    </row>
    <row r="11" spans="2:17" ht="12.75" customHeight="1">
      <c r="B11" s="270">
        <f t="shared" si="1"/>
        <v>8</v>
      </c>
      <c r="C11" s="469" t="s">
        <v>51</v>
      </c>
      <c r="D11" s="469" t="str">
        <f t="shared" si="2"/>
        <v>C1</v>
      </c>
      <c r="E11" s="469" t="str">
        <f t="shared" si="0"/>
        <v>C2</v>
      </c>
      <c r="F11" s="469" t="str">
        <f t="shared" si="3"/>
        <v>C3</v>
      </c>
      <c r="G11" s="272"/>
      <c r="H11" s="272"/>
      <c r="I11" s="272"/>
      <c r="J11" s="272"/>
      <c r="K11" s="272"/>
      <c r="L11" s="272"/>
      <c r="M11" s="272"/>
      <c r="O11" s="379"/>
      <c r="P11" s="380"/>
      <c r="Q11" s="381"/>
    </row>
    <row r="12" spans="3:17" ht="6" customHeight="1">
      <c r="C12" s="471"/>
      <c r="D12" s="471"/>
      <c r="E12" s="471"/>
      <c r="F12" s="471"/>
      <c r="G12" s="105"/>
      <c r="H12" s="105"/>
      <c r="I12" s="105"/>
      <c r="J12" s="105"/>
      <c r="K12" s="105"/>
      <c r="L12" s="105"/>
      <c r="M12" s="105"/>
      <c r="O12" s="243"/>
      <c r="P12" s="243"/>
      <c r="Q12" s="5"/>
    </row>
    <row r="13" spans="3:17" ht="26.25" customHeight="1">
      <c r="C13" s="472" t="s">
        <v>144</v>
      </c>
      <c r="D13" s="471"/>
      <c r="E13" s="471"/>
      <c r="F13" s="471"/>
      <c r="G13" s="105"/>
      <c r="H13" s="105"/>
      <c r="I13" s="105"/>
      <c r="J13" s="105"/>
      <c r="K13" s="105"/>
      <c r="L13" s="105"/>
      <c r="M13" s="105"/>
      <c r="O13" s="243"/>
      <c r="P13" s="243"/>
      <c r="Q13" s="5"/>
    </row>
    <row r="14" spans="3:17" ht="6" customHeight="1" thickBot="1">
      <c r="C14" s="473"/>
      <c r="D14" s="471"/>
      <c r="E14" s="471"/>
      <c r="F14" s="471"/>
      <c r="G14" s="105"/>
      <c r="H14" s="105"/>
      <c r="I14" s="105"/>
      <c r="J14" s="105"/>
      <c r="K14" s="105"/>
      <c r="L14" s="105"/>
      <c r="M14" s="105"/>
      <c r="O14" s="243"/>
      <c r="P14" s="243"/>
      <c r="Q14" s="5"/>
    </row>
    <row r="15" spans="3:17" ht="6" customHeight="1" hidden="1">
      <c r="C15" s="473"/>
      <c r="D15" s="471"/>
      <c r="E15" s="471"/>
      <c r="F15" s="471"/>
      <c r="G15" s="105"/>
      <c r="H15" s="105"/>
      <c r="I15" s="105"/>
      <c r="J15" s="105"/>
      <c r="K15" s="105"/>
      <c r="L15" s="105"/>
      <c r="M15" s="105"/>
      <c r="O15" s="243"/>
      <c r="P15" s="243"/>
      <c r="Q15" s="5"/>
    </row>
    <row r="16" spans="3:17" ht="6" customHeight="1" hidden="1">
      <c r="C16" s="473"/>
      <c r="D16" s="471"/>
      <c r="E16" s="471"/>
      <c r="F16" s="471"/>
      <c r="G16" s="105"/>
      <c r="H16" s="105"/>
      <c r="I16" s="105"/>
      <c r="J16" s="105"/>
      <c r="K16" s="105"/>
      <c r="L16" s="105"/>
      <c r="M16" s="105"/>
      <c r="O16" s="243"/>
      <c r="P16" s="243"/>
      <c r="Q16" s="5"/>
    </row>
    <row r="17" spans="3:17" ht="6" customHeight="1" hidden="1">
      <c r="C17" s="473"/>
      <c r="D17" s="471"/>
      <c r="E17" s="471"/>
      <c r="F17" s="471"/>
      <c r="G17" s="105"/>
      <c r="H17" s="105"/>
      <c r="I17" s="105"/>
      <c r="J17" s="105"/>
      <c r="K17" s="105"/>
      <c r="L17" s="105"/>
      <c r="M17" s="105"/>
      <c r="O17" s="243"/>
      <c r="P17" s="243"/>
      <c r="Q17" s="5"/>
    </row>
    <row r="18" spans="3:17" ht="6" customHeight="1" hidden="1">
      <c r="C18" s="473"/>
      <c r="D18" s="471"/>
      <c r="E18" s="471"/>
      <c r="F18" s="471"/>
      <c r="G18" s="105"/>
      <c r="H18" s="105"/>
      <c r="I18" s="105"/>
      <c r="J18" s="105"/>
      <c r="K18" s="105"/>
      <c r="L18" s="105"/>
      <c r="M18" s="105"/>
      <c r="O18" s="243"/>
      <c r="P18" s="243"/>
      <c r="Q18" s="5"/>
    </row>
    <row r="19" spans="3:17" ht="6" customHeight="1" hidden="1">
      <c r="C19" s="473"/>
      <c r="D19" s="471"/>
      <c r="E19" s="471"/>
      <c r="F19" s="471"/>
      <c r="G19" s="105"/>
      <c r="H19" s="105"/>
      <c r="I19" s="105"/>
      <c r="J19" s="105"/>
      <c r="K19" s="105"/>
      <c r="L19" s="105"/>
      <c r="M19" s="105"/>
      <c r="O19" s="243"/>
      <c r="P19" s="243"/>
      <c r="Q19" s="5"/>
    </row>
    <row r="20" spans="3:17" ht="6" customHeight="1" hidden="1">
      <c r="C20" s="473"/>
      <c r="D20" s="471"/>
      <c r="E20" s="471"/>
      <c r="F20" s="471"/>
      <c r="G20" s="105"/>
      <c r="H20" s="105"/>
      <c r="I20" s="105"/>
      <c r="J20" s="105"/>
      <c r="K20" s="105"/>
      <c r="L20" s="105"/>
      <c r="M20" s="105"/>
      <c r="O20" s="243"/>
      <c r="P20" s="243"/>
      <c r="Q20" s="5"/>
    </row>
    <row r="21" spans="3:17" ht="6" customHeight="1" hidden="1">
      <c r="C21" s="473"/>
      <c r="D21" s="471"/>
      <c r="E21" s="471"/>
      <c r="F21" s="471"/>
      <c r="G21" s="105"/>
      <c r="H21" s="105"/>
      <c r="I21" s="105"/>
      <c r="J21" s="105"/>
      <c r="K21" s="105"/>
      <c r="L21" s="105"/>
      <c r="M21" s="105"/>
      <c r="O21" s="243"/>
      <c r="P21" s="243"/>
      <c r="Q21" s="5"/>
    </row>
    <row r="22" spans="3:17" ht="6" customHeight="1" hidden="1">
      <c r="C22" s="473"/>
      <c r="D22" s="471"/>
      <c r="E22" s="471"/>
      <c r="F22" s="471"/>
      <c r="G22" s="105"/>
      <c r="H22" s="105"/>
      <c r="I22" s="105"/>
      <c r="J22" s="105"/>
      <c r="K22" s="105"/>
      <c r="L22" s="105"/>
      <c r="M22" s="105"/>
      <c r="O22" s="243"/>
      <c r="P22" s="243"/>
      <c r="Q22" s="5"/>
    </row>
    <row r="23" spans="3:17" ht="6" customHeight="1" hidden="1">
      <c r="C23" s="473"/>
      <c r="D23" s="471"/>
      <c r="E23" s="471"/>
      <c r="F23" s="471"/>
      <c r="G23" s="105"/>
      <c r="H23" s="105"/>
      <c r="I23" s="105"/>
      <c r="J23" s="105"/>
      <c r="K23" s="105"/>
      <c r="L23" s="105"/>
      <c r="M23" s="105"/>
      <c r="O23" s="243"/>
      <c r="P23" s="243"/>
      <c r="Q23" s="5"/>
    </row>
    <row r="24" spans="3:17" ht="6" customHeight="1" hidden="1">
      <c r="C24" s="473"/>
      <c r="D24" s="471"/>
      <c r="E24" s="471"/>
      <c r="F24" s="471"/>
      <c r="G24" s="105"/>
      <c r="H24" s="105"/>
      <c r="I24" s="105"/>
      <c r="J24" s="105"/>
      <c r="K24" s="105"/>
      <c r="L24" s="105"/>
      <c r="M24" s="105"/>
      <c r="O24" s="243"/>
      <c r="P24" s="243"/>
      <c r="Q24" s="5"/>
    </row>
    <row r="25" spans="3:17" ht="6" customHeight="1" hidden="1">
      <c r="C25" s="473"/>
      <c r="D25" s="471"/>
      <c r="E25" s="471"/>
      <c r="F25" s="471"/>
      <c r="G25" s="105"/>
      <c r="H25" s="105"/>
      <c r="I25" s="105"/>
      <c r="J25" s="105"/>
      <c r="K25" s="105"/>
      <c r="L25" s="105"/>
      <c r="M25" s="105"/>
      <c r="O25" s="243"/>
      <c r="P25" s="243"/>
      <c r="Q25" s="5"/>
    </row>
    <row r="26" spans="3:17" ht="6" customHeight="1" hidden="1">
      <c r="C26" s="473"/>
      <c r="D26" s="471"/>
      <c r="E26" s="471"/>
      <c r="F26" s="471"/>
      <c r="G26" s="105"/>
      <c r="H26" s="105"/>
      <c r="I26" s="105"/>
      <c r="J26" s="105"/>
      <c r="K26" s="105"/>
      <c r="L26" s="105"/>
      <c r="M26" s="105"/>
      <c r="O26" s="243"/>
      <c r="P26" s="243"/>
      <c r="Q26" s="5"/>
    </row>
    <row r="27" spans="3:17" ht="6" customHeight="1" hidden="1">
      <c r="C27" s="473"/>
      <c r="D27" s="471"/>
      <c r="E27" s="471"/>
      <c r="F27" s="471"/>
      <c r="G27" s="105"/>
      <c r="H27" s="105"/>
      <c r="I27" s="105"/>
      <c r="J27" s="105"/>
      <c r="K27" s="105"/>
      <c r="L27" s="105"/>
      <c r="M27" s="105"/>
      <c r="O27" s="243"/>
      <c r="P27" s="243"/>
      <c r="Q27" s="5"/>
    </row>
    <row r="28" spans="3:17" ht="6" customHeight="1" hidden="1">
      <c r="C28" s="473"/>
      <c r="D28" s="471"/>
      <c r="E28" s="471"/>
      <c r="F28" s="471"/>
      <c r="G28" s="105"/>
      <c r="H28" s="105"/>
      <c r="I28" s="105"/>
      <c r="J28" s="105"/>
      <c r="K28" s="105"/>
      <c r="L28" s="105"/>
      <c r="M28" s="105"/>
      <c r="O28" s="243"/>
      <c r="P28" s="243"/>
      <c r="Q28" s="5"/>
    </row>
    <row r="29" spans="3:17" ht="6" customHeight="1" hidden="1">
      <c r="C29" s="473"/>
      <c r="D29" s="471"/>
      <c r="E29" s="471"/>
      <c r="F29" s="471"/>
      <c r="G29" s="105"/>
      <c r="H29" s="105"/>
      <c r="I29" s="105"/>
      <c r="J29" s="105"/>
      <c r="K29" s="105"/>
      <c r="L29" s="105"/>
      <c r="M29" s="105"/>
      <c r="O29" s="243"/>
      <c r="P29" s="243"/>
      <c r="Q29" s="5"/>
    </row>
    <row r="30" spans="3:17" ht="6" customHeight="1" hidden="1">
      <c r="C30" s="473"/>
      <c r="D30" s="471"/>
      <c r="E30" s="471"/>
      <c r="F30" s="471"/>
      <c r="G30" s="105"/>
      <c r="H30" s="105"/>
      <c r="I30" s="105"/>
      <c r="J30" s="105"/>
      <c r="K30" s="105"/>
      <c r="L30" s="105"/>
      <c r="M30" s="105"/>
      <c r="O30" s="243"/>
      <c r="P30" s="243"/>
      <c r="Q30" s="5"/>
    </row>
    <row r="31" spans="3:17" ht="6" customHeight="1" hidden="1">
      <c r="C31" s="473"/>
      <c r="D31" s="471"/>
      <c r="E31" s="471"/>
      <c r="F31" s="471"/>
      <c r="G31" s="105"/>
      <c r="H31" s="105"/>
      <c r="I31" s="105"/>
      <c r="J31" s="105"/>
      <c r="K31" s="105"/>
      <c r="L31" s="105"/>
      <c r="M31" s="105"/>
      <c r="O31" s="243"/>
      <c r="P31" s="243"/>
      <c r="Q31" s="5"/>
    </row>
    <row r="32" spans="3:17" ht="6" customHeight="1" hidden="1">
      <c r="C32" s="473"/>
      <c r="D32" s="471"/>
      <c r="E32" s="471"/>
      <c r="F32" s="471"/>
      <c r="G32" s="105"/>
      <c r="H32" s="105"/>
      <c r="I32" s="105"/>
      <c r="J32" s="105"/>
      <c r="K32" s="105"/>
      <c r="L32" s="105"/>
      <c r="M32" s="105"/>
      <c r="O32" s="243"/>
      <c r="P32" s="243"/>
      <c r="Q32" s="5"/>
    </row>
    <row r="33" spans="3:17" ht="6" customHeight="1" hidden="1">
      <c r="C33" s="473"/>
      <c r="D33" s="471"/>
      <c r="E33" s="471"/>
      <c r="F33" s="471"/>
      <c r="G33" s="105"/>
      <c r="H33" s="105"/>
      <c r="I33" s="105"/>
      <c r="J33" s="105"/>
      <c r="K33" s="105"/>
      <c r="L33" s="105"/>
      <c r="M33" s="105"/>
      <c r="O33" s="243"/>
      <c r="P33" s="243"/>
      <c r="Q33" s="5"/>
    </row>
    <row r="34" spans="3:17" ht="6" customHeight="1" hidden="1">
      <c r="C34" s="473"/>
      <c r="D34" s="471"/>
      <c r="E34" s="471"/>
      <c r="F34" s="471"/>
      <c r="G34" s="105"/>
      <c r="H34" s="105"/>
      <c r="I34" s="105"/>
      <c r="J34" s="105"/>
      <c r="K34" s="105"/>
      <c r="L34" s="105"/>
      <c r="M34" s="105"/>
      <c r="O34" s="243"/>
      <c r="P34" s="243"/>
      <c r="Q34" s="5"/>
    </row>
    <row r="35" spans="3:17" ht="6" customHeight="1" hidden="1">
      <c r="C35" s="473"/>
      <c r="D35" s="471"/>
      <c r="E35" s="471"/>
      <c r="F35" s="471"/>
      <c r="G35" s="105"/>
      <c r="H35" s="105"/>
      <c r="I35" s="105"/>
      <c r="J35" s="105"/>
      <c r="K35" s="105"/>
      <c r="L35" s="105"/>
      <c r="M35" s="105"/>
      <c r="O35" s="243"/>
      <c r="P35" s="243"/>
      <c r="Q35" s="5"/>
    </row>
    <row r="36" spans="3:17" ht="6" customHeight="1" hidden="1">
      <c r="C36" s="473"/>
      <c r="D36" s="471"/>
      <c r="E36" s="471"/>
      <c r="F36" s="471"/>
      <c r="G36" s="105"/>
      <c r="H36" s="105"/>
      <c r="I36" s="105"/>
      <c r="J36" s="105"/>
      <c r="K36" s="105"/>
      <c r="L36" s="105"/>
      <c r="M36" s="105"/>
      <c r="O36" s="243"/>
      <c r="P36" s="243"/>
      <c r="Q36" s="5"/>
    </row>
    <row r="37" spans="2:16" ht="45" customHeight="1" thickBot="1">
      <c r="B37"/>
      <c r="C37" s="474" t="s">
        <v>142</v>
      </c>
      <c r="D37" s="475" t="s">
        <v>186</v>
      </c>
      <c r="E37" s="475" t="s">
        <v>187</v>
      </c>
      <c r="F37" s="476" t="s">
        <v>188</v>
      </c>
      <c r="G37" s="273"/>
      <c r="H37" s="273"/>
      <c r="I37" s="273"/>
      <c r="J37" s="273"/>
      <c r="K37" s="273"/>
      <c r="L37" s="273"/>
      <c r="M37" s="273"/>
      <c r="N37" s="274" t="s">
        <v>189</v>
      </c>
      <c r="O37" s="204"/>
      <c r="P37" s="204"/>
    </row>
    <row r="38" spans="2:16" ht="18" customHeight="1">
      <c r="B38"/>
      <c r="C38" s="477" t="s">
        <v>175</v>
      </c>
      <c r="D38" s="478" t="str">
        <f>IF(OR($C38="-",$C38="empty"),CONCATENATE($C38,""),CONCATENATE(LEFT(PROPER($C38)),1))</f>
        <v>U1</v>
      </c>
      <c r="E38" s="478" t="str">
        <f>IF(OR($C38="-",$C38="empty"),CONCATENATE($C38,""),CONCATENATE(LEFT(PROPER($C38)),2))</f>
        <v>U2</v>
      </c>
      <c r="F38" s="479" t="str">
        <f>IF(OR($C38="-",$C38="empty",$N38&lt;&gt;3),CONCATENATE(IF($N38&lt;&gt;3,"",$C38),""),CONCATENATE(LEFT(PROPER($C38)),3))</f>
        <v>U3</v>
      </c>
      <c r="G38" s="275"/>
      <c r="H38" s="275"/>
      <c r="I38" s="275"/>
      <c r="J38" s="275"/>
      <c r="K38" s="275"/>
      <c r="L38" s="275"/>
      <c r="M38" s="275"/>
      <c r="N38" s="276">
        <v>3</v>
      </c>
      <c r="O38" s="277" t="s">
        <v>190</v>
      </c>
      <c r="P38" s="278"/>
    </row>
    <row r="39" spans="2:16" ht="17.25" customHeight="1">
      <c r="B39"/>
      <c r="C39" s="480" t="s">
        <v>176</v>
      </c>
      <c r="D39" s="481" t="str">
        <f>IF(OR($C39="-",$C39="empty"),CONCATENATE($C39,""),CONCATENATE(LEFT(PROPER($C39)),1))</f>
        <v>V1</v>
      </c>
      <c r="E39" s="481" t="str">
        <f>IF(OR($C39="-",$C39="empty"),CONCATENATE($C39,""),CONCATENATE(LEFT(PROPER($C39)),2))</f>
        <v>V2</v>
      </c>
      <c r="F39" s="482" t="str">
        <f>IF(OR($C39="-",$C39="empty",$N39&lt;&gt;3),CONCATENATE(IF($N39&lt;&gt;3,"",$C39),""),CONCATENATE(LEFT(PROPER($C39)),3))</f>
        <v>V3</v>
      </c>
      <c r="G39" s="279"/>
      <c r="H39" s="279"/>
      <c r="I39" s="279"/>
      <c r="J39" s="279"/>
      <c r="K39" s="279"/>
      <c r="L39" s="279"/>
      <c r="M39" s="279"/>
      <c r="N39" s="310">
        <v>3</v>
      </c>
      <c r="O39" s="278"/>
      <c r="P39" s="280"/>
    </row>
    <row r="40" spans="2:16" ht="18.75" customHeight="1">
      <c r="B40"/>
      <c r="C40" s="480" t="s">
        <v>191</v>
      </c>
      <c r="D40" s="483" t="str">
        <f>IF(OR($C40="-",$C40="empty"),CONCATENATE($C40,""),CONCATENATE(LEFT(PROPER($C40)),1))</f>
        <v>W1</v>
      </c>
      <c r="E40" s="483" t="str">
        <f>IF(OR($C40="-",$C40="empty"),CONCATENATE($C40,""),CONCATENATE(LEFT(PROPER($C40)),2))</f>
        <v>W2</v>
      </c>
      <c r="F40" s="482" t="str">
        <f>IF(OR($C40="-",$C40="empty",$N40&lt;&gt;3),CONCATENATE(IF($N40&lt;&gt;3,"",$C40),""),CONCATENATE(LEFT(PROPER($C40)),3))</f>
        <v>W3</v>
      </c>
      <c r="G40" s="279"/>
      <c r="H40" s="279"/>
      <c r="I40" s="279"/>
      <c r="J40" s="279"/>
      <c r="K40" s="279"/>
      <c r="L40" s="279"/>
      <c r="M40" s="279"/>
      <c r="N40" s="310">
        <v>3</v>
      </c>
      <c r="O40" s="281"/>
      <c r="P40" s="278"/>
    </row>
    <row r="41" spans="2:16" ht="18" customHeight="1" thickBot="1">
      <c r="B41"/>
      <c r="C41" s="480" t="s">
        <v>192</v>
      </c>
      <c r="D41" s="483" t="str">
        <f>IF(OR($C41="-",$C41="empty"),CONCATENATE($C41,""),CONCATENATE(LEFT(PROPER($C41)),1))</f>
        <v>X1</v>
      </c>
      <c r="E41" s="483" t="str">
        <f>IF(OR($C41="-",$C41="empty"),CONCATENATE($C41,""),CONCATENATE(LEFT(PROPER($C41)),2))</f>
        <v>X2</v>
      </c>
      <c r="F41" s="482">
        <f>IF(OR($C41="-",$C41="empty",$N41&lt;&gt;3),CONCATENATE(IF($N41&lt;&gt;3,"",$C41),""),CONCATENATE(LEFT(PROPER($C41)),3))</f>
      </c>
      <c r="G41" s="282"/>
      <c r="H41" s="282"/>
      <c r="I41" s="282"/>
      <c r="J41" s="282"/>
      <c r="K41" s="282"/>
      <c r="L41" s="282"/>
      <c r="M41" s="282"/>
      <c r="N41" s="311"/>
      <c r="O41" s="278"/>
      <c r="P41" s="278"/>
    </row>
    <row r="42" spans="2:17" ht="63.75" customHeight="1">
      <c r="B4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27">
        <f>CONCATENATE(IF(AND(N38=2,N39=2,N40=2,N41&lt;&gt;2),"L4",""),IF(AND(N38=2,N39=2,N40=2,N41=2),"L8",""))</f>
      </c>
      <c r="O42" s="328">
        <f>CONCATENATE(IF(AND(N38=2,N39=2,N40=2,N41&lt;&gt;2),"Type F8                                for FACTORIAL / L4 is default for ORTHOGONAL",""),IF(AND(N38=2,N39=2,N40=2,N41=2),"Type F16                                for FACTORIAL /  L8 is default for ORTHOGONAL",""))</f>
      </c>
      <c r="P42" s="191"/>
      <c r="Q42" s="283" t="str">
        <f>IF(OR(P42="",AND(N42="L8",P42="F16"),AND(N42="L4",P42="F8")),"OKAY","ERROR")</f>
        <v>OKAY</v>
      </c>
    </row>
    <row r="43" spans="2:16" ht="35.25" customHeight="1">
      <c r="B43"/>
      <c r="C43" s="382" t="s">
        <v>143</v>
      </c>
      <c r="D43" s="382"/>
      <c r="E43" s="382"/>
      <c r="F43" s="382"/>
      <c r="G43" s="284"/>
      <c r="H43" s="284"/>
      <c r="I43" s="284"/>
      <c r="J43" s="284"/>
      <c r="K43" s="284"/>
      <c r="L43" s="284"/>
      <c r="M43" s="284"/>
      <c r="N43" s="329"/>
      <c r="O43" s="329"/>
      <c r="P43" s="285"/>
    </row>
    <row r="44" spans="2:16" ht="4.5" customHeight="1">
      <c r="B44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330"/>
      <c r="O44" s="331"/>
      <c r="P44" s="287"/>
    </row>
    <row r="45" spans="2:16" ht="4.5" customHeight="1">
      <c r="B45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330"/>
      <c r="O45" s="331"/>
      <c r="P45" s="287"/>
    </row>
    <row r="46" spans="2:15" ht="57" customHeight="1">
      <c r="B4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30" t="s">
        <v>193</v>
      </c>
      <c r="O46" s="332" t="str">
        <f>IF(P42="",CONCATENATE(IF(AND(N38=2,OR(N39=0,N39=""),OR(N40=0,N40=""),OR(N41=0,N41="")),"F2",""),IF(AND(N38=3,OR(N39=0,N39=""),OR(N40=0,N40=""),OR(N41=0,N41="")),"F3",""),IF(AND(N38=2,N39=2,OR(N40=0,N40=""),OR(N41=0,N41="")),"F4",""),IF(AND(N38=2,N39=3),"F6",""),IF(AND(N38=2,N39=2,N40=2,OR(N41=0,N41=""),N42="F8"),"F8",""),IF(AND(N38=2,N39=2,N40=3,OR(N41=0,N41="")),"F12",""),IF(AND(N38=2,N39=2,N40=2,N41=2,N42="F16"),"F16",""),IF(AND(N38=2,N39=2,N40=2,N41=2,N42&lt;&gt;"F16"),"L8",""),IF(AND(N38=2,N39=2,N40=2,OR(N41=0,N41=""),N42&lt;&gt;"F8"),"L4",""),IF(AND(N38=3,N39=3,OR(N40=0,N40=""),OR(N41=0,N41="")),"L9",""),IF(AND(N38=3,N39=3,N40=3,OR(N41=0,N41="",N41=3)),"L9","")),P42)</f>
        <v>L9</v>
      </c>
    </row>
    <row r="47" spans="2:14" ht="12.75">
      <c r="B4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sheetProtection password="F750" sheet="1" objects="1" scenarios="1"/>
  <mergeCells count="2">
    <mergeCell ref="O2:Q11"/>
    <mergeCell ref="C43:F4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3"/>
  <sheetViews>
    <sheetView workbookViewId="0" topLeftCell="A1">
      <selection activeCell="G29" sqref="G29"/>
    </sheetView>
  </sheetViews>
  <sheetFormatPr defaultColWidth="9.140625" defaultRowHeight="12.75"/>
  <cols>
    <col min="1" max="2" width="10.28125" style="8" customWidth="1"/>
    <col min="3" max="9" width="13.421875" style="8" customWidth="1"/>
  </cols>
  <sheetData>
    <row r="1" spans="1:12" ht="16.5" thickBot="1">
      <c r="A1" s="175" t="s">
        <v>34</v>
      </c>
      <c r="B1" s="176"/>
      <c r="C1" s="176"/>
      <c r="D1" s="176"/>
      <c r="E1" s="176"/>
      <c r="F1" s="176"/>
      <c r="G1" s="176"/>
      <c r="H1" s="176"/>
      <c r="I1" s="176"/>
      <c r="J1" s="105"/>
      <c r="K1" s="105"/>
      <c r="L1" s="105"/>
    </row>
    <row r="2" spans="1:12" s="3" customFormat="1" ht="20.25">
      <c r="A2" s="177"/>
      <c r="B2" s="383" t="s">
        <v>35</v>
      </c>
      <c r="C2" s="384"/>
      <c r="D2" s="384"/>
      <c r="E2" s="384"/>
      <c r="F2" s="384"/>
      <c r="G2" s="384"/>
      <c r="H2" s="384"/>
      <c r="I2" s="385"/>
      <c r="J2" s="168"/>
      <c r="K2" s="168"/>
      <c r="L2" s="168"/>
    </row>
    <row r="3" spans="1:12" ht="12.75">
      <c r="A3" s="178" t="s">
        <v>21</v>
      </c>
      <c r="B3" s="178" t="s">
        <v>1</v>
      </c>
      <c r="C3" s="178" t="s">
        <v>2</v>
      </c>
      <c r="D3" s="178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79" t="s">
        <v>36</v>
      </c>
      <c r="J3" s="105"/>
      <c r="K3" s="105"/>
      <c r="L3" s="105"/>
    </row>
    <row r="4" spans="1:12" ht="12.75">
      <c r="A4" s="57">
        <v>1</v>
      </c>
      <c r="B4" s="57">
        <v>1</v>
      </c>
      <c r="C4" s="57">
        <v>1</v>
      </c>
      <c r="D4" s="57">
        <v>1</v>
      </c>
      <c r="E4" s="57">
        <v>1</v>
      </c>
      <c r="F4" s="57">
        <v>1</v>
      </c>
      <c r="G4" s="57">
        <v>1</v>
      </c>
      <c r="H4" s="57">
        <v>1</v>
      </c>
      <c r="I4" s="180">
        <v>1</v>
      </c>
      <c r="J4" s="105"/>
      <c r="K4" s="105"/>
      <c r="L4" s="105"/>
    </row>
    <row r="5" spans="1:12" ht="12.75">
      <c r="A5" s="57">
        <v>2</v>
      </c>
      <c r="B5" s="57">
        <v>1</v>
      </c>
      <c r="C5" s="57">
        <v>1</v>
      </c>
      <c r="D5" s="57">
        <v>2</v>
      </c>
      <c r="E5" s="57">
        <v>2</v>
      </c>
      <c r="F5" s="57">
        <v>2</v>
      </c>
      <c r="G5" s="57">
        <v>2</v>
      </c>
      <c r="H5" s="57">
        <v>2</v>
      </c>
      <c r="I5" s="180">
        <v>2</v>
      </c>
      <c r="J5" s="105"/>
      <c r="K5" s="105"/>
      <c r="L5" s="105"/>
    </row>
    <row r="6" spans="1:12" ht="12.75">
      <c r="A6" s="57">
        <v>3</v>
      </c>
      <c r="B6" s="57">
        <v>1</v>
      </c>
      <c r="C6" s="57">
        <v>1</v>
      </c>
      <c r="D6" s="57">
        <v>3</v>
      </c>
      <c r="E6" s="57">
        <v>3</v>
      </c>
      <c r="F6" s="57">
        <v>3</v>
      </c>
      <c r="G6" s="57">
        <v>3</v>
      </c>
      <c r="H6" s="57">
        <v>3</v>
      </c>
      <c r="I6" s="180">
        <v>3</v>
      </c>
      <c r="J6" s="105"/>
      <c r="K6" s="105"/>
      <c r="L6" s="105"/>
    </row>
    <row r="7" spans="1:12" ht="12.75">
      <c r="A7" s="57">
        <v>4</v>
      </c>
      <c r="B7" s="57">
        <v>1</v>
      </c>
      <c r="C7" s="57">
        <v>2</v>
      </c>
      <c r="D7" s="57">
        <v>1</v>
      </c>
      <c r="E7" s="57">
        <v>1</v>
      </c>
      <c r="F7" s="57">
        <v>2</v>
      </c>
      <c r="G7" s="57">
        <v>2</v>
      </c>
      <c r="H7" s="57">
        <v>3</v>
      </c>
      <c r="I7" s="180">
        <v>3</v>
      </c>
      <c r="J7" s="105"/>
      <c r="K7" s="105"/>
      <c r="L7" s="105"/>
    </row>
    <row r="8" spans="1:12" ht="12.75">
      <c r="A8" s="57">
        <v>5</v>
      </c>
      <c r="B8" s="57">
        <v>1</v>
      </c>
      <c r="C8" s="57">
        <v>2</v>
      </c>
      <c r="D8" s="57">
        <v>2</v>
      </c>
      <c r="E8" s="57">
        <v>2</v>
      </c>
      <c r="F8" s="57">
        <v>3</v>
      </c>
      <c r="G8" s="57">
        <v>3</v>
      </c>
      <c r="H8" s="57">
        <v>1</v>
      </c>
      <c r="I8" s="180">
        <v>1</v>
      </c>
      <c r="J8" s="105"/>
      <c r="K8" s="105"/>
      <c r="L8" s="105"/>
    </row>
    <row r="9" spans="1:12" ht="12.75">
      <c r="A9" s="57">
        <v>6</v>
      </c>
      <c r="B9" s="57">
        <v>1</v>
      </c>
      <c r="C9" s="57">
        <v>2</v>
      </c>
      <c r="D9" s="57">
        <v>3</v>
      </c>
      <c r="E9" s="57">
        <v>3</v>
      </c>
      <c r="F9" s="57">
        <v>1</v>
      </c>
      <c r="G9" s="57">
        <v>1</v>
      </c>
      <c r="H9" s="57">
        <v>2</v>
      </c>
      <c r="I9" s="180">
        <v>2</v>
      </c>
      <c r="J9" s="105"/>
      <c r="K9" s="386" t="s">
        <v>37</v>
      </c>
      <c r="L9" s="386"/>
    </row>
    <row r="10" spans="1:12" ht="12.75">
      <c r="A10" s="57">
        <v>7</v>
      </c>
      <c r="B10" s="57">
        <v>1</v>
      </c>
      <c r="C10" s="57">
        <v>3</v>
      </c>
      <c r="D10" s="57">
        <v>1</v>
      </c>
      <c r="E10" s="57">
        <v>2</v>
      </c>
      <c r="F10" s="57">
        <v>1</v>
      </c>
      <c r="G10" s="57">
        <v>3</v>
      </c>
      <c r="H10" s="57">
        <v>2</v>
      </c>
      <c r="I10" s="180">
        <v>3</v>
      </c>
      <c r="J10" s="105"/>
      <c r="K10" s="386"/>
      <c r="L10" s="386"/>
    </row>
    <row r="11" spans="1:12" ht="12.75">
      <c r="A11" s="57">
        <v>8</v>
      </c>
      <c r="B11" s="57">
        <v>1</v>
      </c>
      <c r="C11" s="57">
        <v>3</v>
      </c>
      <c r="D11" s="57">
        <v>2</v>
      </c>
      <c r="E11" s="57">
        <v>3</v>
      </c>
      <c r="F11" s="57">
        <v>2</v>
      </c>
      <c r="G11" s="57">
        <v>1</v>
      </c>
      <c r="H11" s="57">
        <v>3</v>
      </c>
      <c r="I11" s="180">
        <v>1</v>
      </c>
      <c r="J11" s="105"/>
      <c r="K11" s="386"/>
      <c r="L11" s="386"/>
    </row>
    <row r="12" spans="1:12" ht="12.75">
      <c r="A12" s="57">
        <v>9</v>
      </c>
      <c r="B12" s="57">
        <v>1</v>
      </c>
      <c r="C12" s="57">
        <v>3</v>
      </c>
      <c r="D12" s="57">
        <v>3</v>
      </c>
      <c r="E12" s="57">
        <v>1</v>
      </c>
      <c r="F12" s="57">
        <v>3</v>
      </c>
      <c r="G12" s="57">
        <v>2</v>
      </c>
      <c r="H12" s="57">
        <v>1</v>
      </c>
      <c r="I12" s="180">
        <v>2</v>
      </c>
      <c r="J12" s="105"/>
      <c r="K12" s="386"/>
      <c r="L12" s="386"/>
    </row>
    <row r="13" spans="1:12" ht="12.75">
      <c r="A13" s="57">
        <v>10</v>
      </c>
      <c r="B13" s="57">
        <v>2</v>
      </c>
      <c r="C13" s="57">
        <v>1</v>
      </c>
      <c r="D13" s="57">
        <v>1</v>
      </c>
      <c r="E13" s="57">
        <v>3</v>
      </c>
      <c r="F13" s="57">
        <v>3</v>
      </c>
      <c r="G13" s="57">
        <v>2</v>
      </c>
      <c r="H13" s="57">
        <v>2</v>
      </c>
      <c r="I13" s="180">
        <v>1</v>
      </c>
      <c r="J13" s="105"/>
      <c r="K13" s="386"/>
      <c r="L13" s="386"/>
    </row>
    <row r="14" spans="1:12" ht="12.75">
      <c r="A14" s="57">
        <v>11</v>
      </c>
      <c r="B14" s="57">
        <v>2</v>
      </c>
      <c r="C14" s="57">
        <v>1</v>
      </c>
      <c r="D14" s="57">
        <v>2</v>
      </c>
      <c r="E14" s="57">
        <v>1</v>
      </c>
      <c r="F14" s="57">
        <v>1</v>
      </c>
      <c r="G14" s="57">
        <v>3</v>
      </c>
      <c r="H14" s="57">
        <v>3</v>
      </c>
      <c r="I14" s="180">
        <v>2</v>
      </c>
      <c r="J14" s="105"/>
      <c r="K14" s="386"/>
      <c r="L14" s="386"/>
    </row>
    <row r="15" spans="1:12" ht="12.75">
      <c r="A15" s="57">
        <v>12</v>
      </c>
      <c r="B15" s="57">
        <v>2</v>
      </c>
      <c r="C15" s="57">
        <v>1</v>
      </c>
      <c r="D15" s="57">
        <v>3</v>
      </c>
      <c r="E15" s="57">
        <v>2</v>
      </c>
      <c r="F15" s="57">
        <v>2</v>
      </c>
      <c r="G15" s="57">
        <v>1</v>
      </c>
      <c r="H15" s="57">
        <v>1</v>
      </c>
      <c r="I15" s="180">
        <v>3</v>
      </c>
      <c r="J15" s="105"/>
      <c r="K15" s="386"/>
      <c r="L15" s="386"/>
    </row>
    <row r="16" spans="1:12" ht="12.75">
      <c r="A16" s="57">
        <v>13</v>
      </c>
      <c r="B16" s="57">
        <v>2</v>
      </c>
      <c r="C16" s="57">
        <v>2</v>
      </c>
      <c r="D16" s="57">
        <v>1</v>
      </c>
      <c r="E16" s="57">
        <v>2</v>
      </c>
      <c r="F16" s="57">
        <v>3</v>
      </c>
      <c r="G16" s="57">
        <v>1</v>
      </c>
      <c r="H16" s="57">
        <v>3</v>
      </c>
      <c r="I16" s="180">
        <v>2</v>
      </c>
      <c r="J16" s="105"/>
      <c r="K16" s="386"/>
      <c r="L16" s="386"/>
    </row>
    <row r="17" spans="1:12" ht="12.75">
      <c r="A17" s="57">
        <v>14</v>
      </c>
      <c r="B17" s="57">
        <v>2</v>
      </c>
      <c r="C17" s="57">
        <v>2</v>
      </c>
      <c r="D17" s="57">
        <v>2</v>
      </c>
      <c r="E17" s="57">
        <v>3</v>
      </c>
      <c r="F17" s="57">
        <v>1</v>
      </c>
      <c r="G17" s="57">
        <v>2</v>
      </c>
      <c r="H17" s="57">
        <v>1</v>
      </c>
      <c r="I17" s="180">
        <v>3</v>
      </c>
      <c r="J17" s="105"/>
      <c r="K17" s="105"/>
      <c r="L17" s="105"/>
    </row>
    <row r="18" spans="1:12" ht="12.75">
      <c r="A18" s="57">
        <v>15</v>
      </c>
      <c r="B18" s="57">
        <v>2</v>
      </c>
      <c r="C18" s="57">
        <v>2</v>
      </c>
      <c r="D18" s="57">
        <v>3</v>
      </c>
      <c r="E18" s="57">
        <v>1</v>
      </c>
      <c r="F18" s="57">
        <v>2</v>
      </c>
      <c r="G18" s="57">
        <v>3</v>
      </c>
      <c r="H18" s="57">
        <v>2</v>
      </c>
      <c r="I18" s="180">
        <v>1</v>
      </c>
      <c r="J18" s="105"/>
      <c r="K18" s="105"/>
      <c r="L18" s="105"/>
    </row>
    <row r="19" spans="1:12" ht="12.75">
      <c r="A19" s="57">
        <v>16</v>
      </c>
      <c r="B19" s="57">
        <v>2</v>
      </c>
      <c r="C19" s="57">
        <v>3</v>
      </c>
      <c r="D19" s="57">
        <v>1</v>
      </c>
      <c r="E19" s="57">
        <v>3</v>
      </c>
      <c r="F19" s="57">
        <v>2</v>
      </c>
      <c r="G19" s="57">
        <v>3</v>
      </c>
      <c r="H19" s="57">
        <v>1</v>
      </c>
      <c r="I19" s="180">
        <v>2</v>
      </c>
      <c r="J19" s="105"/>
      <c r="K19" s="105"/>
      <c r="L19" s="105"/>
    </row>
    <row r="20" spans="1:12" ht="12.75">
      <c r="A20" s="57">
        <v>17</v>
      </c>
      <c r="B20" s="57">
        <v>2</v>
      </c>
      <c r="C20" s="57">
        <v>3</v>
      </c>
      <c r="D20" s="57">
        <v>2</v>
      </c>
      <c r="E20" s="57">
        <v>1</v>
      </c>
      <c r="F20" s="57">
        <v>3</v>
      </c>
      <c r="G20" s="57">
        <v>1</v>
      </c>
      <c r="H20" s="57">
        <v>2</v>
      </c>
      <c r="I20" s="180">
        <v>3</v>
      </c>
      <c r="J20" s="105"/>
      <c r="K20" s="105"/>
      <c r="L20" s="105"/>
    </row>
    <row r="21" spans="1:12" ht="13.5" thickBot="1">
      <c r="A21" s="181">
        <v>18</v>
      </c>
      <c r="B21" s="181">
        <v>2</v>
      </c>
      <c r="C21" s="181">
        <v>3</v>
      </c>
      <c r="D21" s="181">
        <v>3</v>
      </c>
      <c r="E21" s="181">
        <v>2</v>
      </c>
      <c r="F21" s="181">
        <v>1</v>
      </c>
      <c r="G21" s="181">
        <v>2</v>
      </c>
      <c r="H21" s="181">
        <v>3</v>
      </c>
      <c r="I21" s="182">
        <v>1</v>
      </c>
      <c r="J21" s="105"/>
      <c r="K21" s="105"/>
      <c r="L21" s="105"/>
    </row>
    <row r="22" spans="6:7" ht="22.5" customHeight="1">
      <c r="F22" s="203"/>
      <c r="G22" s="205"/>
    </row>
    <row r="23" spans="1:11" ht="25.5">
      <c r="A23" s="203" t="s">
        <v>147</v>
      </c>
      <c r="B23" s="205">
        <v>9</v>
      </c>
      <c r="F23" s="203" t="s">
        <v>147</v>
      </c>
      <c r="G23" s="205">
        <v>6</v>
      </c>
      <c r="I23" s="223" t="s">
        <v>162</v>
      </c>
      <c r="J23" s="224">
        <v>18</v>
      </c>
      <c r="K23" s="8"/>
    </row>
  </sheetData>
  <sheetProtection password="F750" sheet="1" objects="1" scenarios="1"/>
  <mergeCells count="2">
    <mergeCell ref="B2:I2"/>
    <mergeCell ref="K9:L16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O1:AS111"/>
  <sheetViews>
    <sheetView workbookViewId="0" topLeftCell="A1">
      <selection activeCell="AA4" sqref="AA4:AP7"/>
    </sheetView>
  </sheetViews>
  <sheetFormatPr defaultColWidth="9.140625" defaultRowHeight="12.75"/>
  <cols>
    <col min="1" max="1" width="3.421875" style="0" customWidth="1"/>
    <col min="2" max="16" width="3.421875" style="0" hidden="1" customWidth="1"/>
    <col min="17" max="17" width="2.421875" style="0" hidden="1" customWidth="1"/>
    <col min="18" max="18" width="8.57421875" style="2" customWidth="1"/>
    <col min="19" max="19" width="17.00390625" style="2" customWidth="1"/>
    <col min="20" max="20" width="9.7109375" style="2" customWidth="1"/>
    <col min="21" max="21" width="10.421875" style="2" customWidth="1"/>
    <col min="22" max="22" width="9.8515625" style="2" customWidth="1"/>
    <col min="23" max="23" width="9.421875" style="2" customWidth="1"/>
    <col min="24" max="24" width="10.57421875" style="2" customWidth="1"/>
    <col min="25" max="25" width="9.7109375" style="2" customWidth="1"/>
    <col min="26" max="26" width="19.57421875" style="2" customWidth="1"/>
    <col min="27" max="42" width="7.7109375" style="0" customWidth="1"/>
  </cols>
  <sheetData>
    <row r="1" spans="15:36" ht="13.5" thickBot="1">
      <c r="O1" s="2"/>
      <c r="P1" s="2"/>
      <c r="Q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5:42" ht="70.5" customHeight="1">
      <c r="O2" s="288" t="s">
        <v>194</v>
      </c>
      <c r="P2" s="288"/>
      <c r="Q2" s="288"/>
      <c r="R2" s="288"/>
      <c r="S2" s="289"/>
      <c r="T2" s="289"/>
      <c r="Z2" s="290" t="str">
        <f>CONCATENATE(S50,"==&gt;",R50)</f>
        <v>CHOSEN FACTORIAL OR ORTHOGONAL ARRAY==&gt;L9</v>
      </c>
      <c r="AA2" s="391" t="s">
        <v>195</v>
      </c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3"/>
    </row>
    <row r="3" spans="15:42" ht="59.25" customHeight="1">
      <c r="O3" s="288"/>
      <c r="P3" s="288"/>
      <c r="Q3" s="291" t="s">
        <v>196</v>
      </c>
      <c r="R3" s="292">
        <f>VALUE(CONCATENATE(IF($R$50="F2","2",""),IF($R$50="F3","3",""),IF(OR($R$50="F4",$R$50="L4"),"4",""),IF($R$50="F6","6",""),IF(OR($R$50="F8",$R$50="L8"),"8",""),IF($R$50="L9","9",""),IF($R$50="F12","12",""),IF($R$50="F16","16","")))</f>
        <v>9</v>
      </c>
      <c r="S3" s="291" t="s">
        <v>196</v>
      </c>
      <c r="T3" s="289"/>
      <c r="Z3" s="293" t="s">
        <v>197</v>
      </c>
      <c r="AA3" s="294">
        <v>1</v>
      </c>
      <c r="AB3" s="294">
        <f aca="true" t="shared" si="0" ref="AB3:AP3">IF($R$3&gt;AA3,AA3+1,"")</f>
        <v>2</v>
      </c>
      <c r="AC3" s="294">
        <f t="shared" si="0"/>
        <v>3</v>
      </c>
      <c r="AD3" s="294">
        <f t="shared" si="0"/>
        <v>4</v>
      </c>
      <c r="AE3" s="294">
        <f t="shared" si="0"/>
        <v>5</v>
      </c>
      <c r="AF3" s="294">
        <f t="shared" si="0"/>
        <v>6</v>
      </c>
      <c r="AG3" s="294">
        <f t="shared" si="0"/>
        <v>7</v>
      </c>
      <c r="AH3" s="294">
        <f t="shared" si="0"/>
        <v>8</v>
      </c>
      <c r="AI3" s="294">
        <f t="shared" si="0"/>
        <v>9</v>
      </c>
      <c r="AJ3" s="294">
        <f t="shared" si="0"/>
      </c>
      <c r="AK3" s="294">
        <f t="shared" si="0"/>
      </c>
      <c r="AL3" s="294">
        <f t="shared" si="0"/>
      </c>
      <c r="AM3" s="294">
        <f t="shared" si="0"/>
      </c>
      <c r="AN3" s="294">
        <f t="shared" si="0"/>
      </c>
      <c r="AO3" s="294">
        <f t="shared" si="0"/>
      </c>
      <c r="AP3" s="294">
        <f t="shared" si="0"/>
      </c>
    </row>
    <row r="4" spans="15:43" ht="16.5" customHeight="1">
      <c r="O4" s="11"/>
      <c r="P4" s="2"/>
      <c r="Q4" s="2"/>
      <c r="Z4" s="312" t="str">
        <f>IF(OR('Control-NoIsE Factors &amp; Levels'!$N38="",'Control-NoIsE Factors &amp; Levels'!$N38=0),"",'Control-NoIsE Factors &amp; Levels'!C38)</f>
        <v>U  NoIsE FACTOR  1  </v>
      </c>
      <c r="AA4" s="295" t="str">
        <f>IF(OR(Z4="",AA$3=""),"",CONCATENATE(PROPER(LEFT($Z4,1)),IF($Y$50="F2",AA54,""),IF($Y$50="F3",AA60,""),IF($Y$50="F4",AA66,""),IF($Y$50="F6",AA72,""),IF($Y$50="F8",AA78,""),IF($Y$50="F12",AA84,""),IF($Y$50="F16",AA90,""),IF($Y$50="L4",AA96,""),IF($Y$50="L8",AA102,""),IF($Y$50="L9",AA108,"")))</f>
        <v>U1</v>
      </c>
      <c r="AB4" s="295" t="str">
        <f aca="true" t="shared" si="1" ref="AB4:AP4">IF(OR(AA4="",AB$3=""),"",CONCATENATE(PROPER(LEFT($Z4,1)),IF($Y$50="F2",AB54,""),IF($Y$50="F3",AB60,""),IF($Y$50="F4",AB66,""),IF($Y$50="F6",AB72,""),IF($Y$50="F8",AB78,""),IF($Y$50="F12",AB84,""),IF($Y$50="F16",AB90,""),IF($Y$50="L4",AB96,""),IF($Y$50="L8",AB102,""),IF($Y$50="L9",AB108,"")))</f>
        <v>U1</v>
      </c>
      <c r="AC4" s="295" t="str">
        <f t="shared" si="1"/>
        <v>U1</v>
      </c>
      <c r="AD4" s="295" t="str">
        <f t="shared" si="1"/>
        <v>U2</v>
      </c>
      <c r="AE4" s="295" t="str">
        <f t="shared" si="1"/>
        <v>U2</v>
      </c>
      <c r="AF4" s="295" t="str">
        <f t="shared" si="1"/>
        <v>U2</v>
      </c>
      <c r="AG4" s="295" t="str">
        <f t="shared" si="1"/>
        <v>U3</v>
      </c>
      <c r="AH4" s="295" t="str">
        <f t="shared" si="1"/>
        <v>U3</v>
      </c>
      <c r="AI4" s="295" t="str">
        <f t="shared" si="1"/>
        <v>U3</v>
      </c>
      <c r="AJ4" s="295">
        <f t="shared" si="1"/>
      </c>
      <c r="AK4" s="295">
        <f t="shared" si="1"/>
      </c>
      <c r="AL4" s="295">
        <f t="shared" si="1"/>
      </c>
      <c r="AM4" s="295">
        <f t="shared" si="1"/>
      </c>
      <c r="AN4" s="295">
        <f t="shared" si="1"/>
      </c>
      <c r="AO4" s="295">
        <f t="shared" si="1"/>
      </c>
      <c r="AP4" s="295">
        <f t="shared" si="1"/>
      </c>
      <c r="AQ4" s="296"/>
    </row>
    <row r="5" spans="15:43" ht="14.25" customHeight="1">
      <c r="O5" s="11"/>
      <c r="P5" s="2"/>
      <c r="Q5" s="2"/>
      <c r="Z5" s="312" t="str">
        <f>IF(OR('Control-NoIsE Factors &amp; Levels'!$N39="",'Control-NoIsE Factors &amp; Levels'!$N39=0),"",'Control-NoIsE Factors &amp; Levels'!C39)</f>
        <v>V  NoIsE FACTOR  2   </v>
      </c>
      <c r="AA5" s="295" t="str">
        <f aca="true" t="shared" si="2" ref="AA5:AP7">IF(OR(Z5="",AA$3=""),"",CONCATENATE(PROPER(LEFT($Z5,1)),IF($Y$50="F2",AA55,""),IF($Y$50="F3",AA61,""),IF($Y$50="F4",AA67,""),IF($Y$50="F6",AA73,""),IF($Y$50="F8",AA79,""),IF($Y$50="F12",AA85,""),IF($Y$50="F16",AA91,""),IF($Y$50="L4",AA97,""),IF($Y$50="L8",AA103,""),IF($Y$50="L9",AA109,"")))</f>
        <v>V1</v>
      </c>
      <c r="AB5" s="295" t="str">
        <f t="shared" si="2"/>
        <v>V2</v>
      </c>
      <c r="AC5" s="295" t="str">
        <f t="shared" si="2"/>
        <v>V3</v>
      </c>
      <c r="AD5" s="295" t="str">
        <f t="shared" si="2"/>
        <v>V1</v>
      </c>
      <c r="AE5" s="295" t="str">
        <f t="shared" si="2"/>
        <v>V2</v>
      </c>
      <c r="AF5" s="295" t="str">
        <f t="shared" si="2"/>
        <v>V3</v>
      </c>
      <c r="AG5" s="295" t="str">
        <f t="shared" si="2"/>
        <v>V1</v>
      </c>
      <c r="AH5" s="295" t="str">
        <f t="shared" si="2"/>
        <v>V2</v>
      </c>
      <c r="AI5" s="295" t="str">
        <f t="shared" si="2"/>
        <v>V3</v>
      </c>
      <c r="AJ5" s="295">
        <f t="shared" si="2"/>
      </c>
      <c r="AK5" s="295">
        <f t="shared" si="2"/>
      </c>
      <c r="AL5" s="295">
        <f t="shared" si="2"/>
      </c>
      <c r="AM5" s="295">
        <f t="shared" si="2"/>
      </c>
      <c r="AN5" s="295">
        <f t="shared" si="2"/>
      </c>
      <c r="AO5" s="295">
        <f t="shared" si="2"/>
      </c>
      <c r="AP5" s="295">
        <f t="shared" si="2"/>
      </c>
      <c r="AQ5" s="296"/>
    </row>
    <row r="6" spans="15:43" ht="12.75" customHeight="1">
      <c r="O6" s="11"/>
      <c r="P6" s="2"/>
      <c r="Q6" s="2"/>
      <c r="Z6" s="312" t="str">
        <f>IF(OR('Control-NoIsE Factors &amp; Levels'!$N40="",'Control-NoIsE Factors &amp; Levels'!$N40=0),"",'Control-NoIsE Factors &amp; Levels'!C40)</f>
        <v>W NoIsE FACTOR  3</v>
      </c>
      <c r="AA6" s="295" t="str">
        <f t="shared" si="2"/>
        <v>W1</v>
      </c>
      <c r="AB6" s="295" t="str">
        <f t="shared" si="2"/>
        <v>W2</v>
      </c>
      <c r="AC6" s="295" t="str">
        <f t="shared" si="2"/>
        <v>W3</v>
      </c>
      <c r="AD6" s="295" t="str">
        <f t="shared" si="2"/>
        <v>W2</v>
      </c>
      <c r="AE6" s="295" t="str">
        <f t="shared" si="2"/>
        <v>W3</v>
      </c>
      <c r="AF6" s="295" t="str">
        <f t="shared" si="2"/>
        <v>W1</v>
      </c>
      <c r="AG6" s="295" t="str">
        <f t="shared" si="2"/>
        <v>W3</v>
      </c>
      <c r="AH6" s="295" t="str">
        <f t="shared" si="2"/>
        <v>W1</v>
      </c>
      <c r="AI6" s="295" t="str">
        <f t="shared" si="2"/>
        <v>W2</v>
      </c>
      <c r="AJ6" s="295">
        <f t="shared" si="2"/>
      </c>
      <c r="AK6" s="295">
        <f t="shared" si="2"/>
      </c>
      <c r="AL6" s="295">
        <f t="shared" si="2"/>
      </c>
      <c r="AM6" s="295">
        <f t="shared" si="2"/>
      </c>
      <c r="AN6" s="295">
        <f t="shared" si="2"/>
      </c>
      <c r="AO6" s="295">
        <f t="shared" si="2"/>
      </c>
      <c r="AP6" s="295">
        <f t="shared" si="2"/>
      </c>
      <c r="AQ6" s="296"/>
    </row>
    <row r="7" spans="15:43" ht="14.25" customHeight="1" thickBot="1">
      <c r="O7" s="11"/>
      <c r="P7" s="2"/>
      <c r="Q7" s="2"/>
      <c r="Z7" s="312">
        <f>IF(OR('Control-NoIsE Factors &amp; Levels'!$N41="",'Control-NoIsE Factors &amp; Levels'!$N41=0),"",'Control-NoIsE Factors &amp; Levels'!C41)</f>
      </c>
      <c r="AA7" s="295">
        <f t="shared" si="2"/>
      </c>
      <c r="AB7" s="295">
        <f t="shared" si="2"/>
      </c>
      <c r="AC7" s="295">
        <f t="shared" si="2"/>
      </c>
      <c r="AD7" s="295">
        <f t="shared" si="2"/>
      </c>
      <c r="AE7" s="295">
        <f t="shared" si="2"/>
      </c>
      <c r="AF7" s="295">
        <f t="shared" si="2"/>
      </c>
      <c r="AG7" s="295">
        <f t="shared" si="2"/>
      </c>
      <c r="AH7" s="295">
        <f t="shared" si="2"/>
      </c>
      <c r="AI7" s="295">
        <f t="shared" si="2"/>
      </c>
      <c r="AJ7" s="295">
        <f t="shared" si="2"/>
      </c>
      <c r="AK7" s="295">
        <f t="shared" si="2"/>
      </c>
      <c r="AL7" s="295">
        <f t="shared" si="2"/>
      </c>
      <c r="AM7" s="295">
        <f t="shared" si="2"/>
      </c>
      <c r="AN7" s="295">
        <f t="shared" si="2"/>
      </c>
      <c r="AO7" s="295">
        <f t="shared" si="2"/>
      </c>
      <c r="AP7" s="295">
        <f t="shared" si="2"/>
      </c>
      <c r="AQ7" s="296"/>
    </row>
    <row r="8" spans="18:42" s="3" customFormat="1" ht="21" customHeight="1">
      <c r="R8" s="389" t="s">
        <v>21</v>
      </c>
      <c r="S8" s="387" t="s">
        <v>20</v>
      </c>
      <c r="T8" s="388"/>
      <c r="U8" s="388"/>
      <c r="V8" s="388"/>
      <c r="W8" s="388"/>
      <c r="X8" s="388"/>
      <c r="Y8" s="388"/>
      <c r="Z8" s="388"/>
      <c r="AA8" s="394" t="str">
        <f aca="true" t="shared" si="3" ref="AA8:AP8">IF(AA$3="",IF(AA3="","",AA$3),CONCATENATE("meas   # ",AA3))</f>
        <v>meas   # 1</v>
      </c>
      <c r="AB8" s="396" t="str">
        <f t="shared" si="3"/>
        <v>meas   # 2</v>
      </c>
      <c r="AC8" s="396" t="str">
        <f t="shared" si="3"/>
        <v>meas   # 3</v>
      </c>
      <c r="AD8" s="396" t="str">
        <f t="shared" si="3"/>
        <v>meas   # 4</v>
      </c>
      <c r="AE8" s="396" t="str">
        <f t="shared" si="3"/>
        <v>meas   # 5</v>
      </c>
      <c r="AF8" s="396" t="str">
        <f t="shared" si="3"/>
        <v>meas   # 6</v>
      </c>
      <c r="AG8" s="396" t="str">
        <f t="shared" si="3"/>
        <v>meas   # 7</v>
      </c>
      <c r="AH8" s="396" t="str">
        <f t="shared" si="3"/>
        <v>meas   # 8</v>
      </c>
      <c r="AI8" s="396" t="str">
        <f t="shared" si="3"/>
        <v>meas   # 9</v>
      </c>
      <c r="AJ8" s="396">
        <f t="shared" si="3"/>
      </c>
      <c r="AK8" s="396">
        <f t="shared" si="3"/>
      </c>
      <c r="AL8" s="396">
        <f t="shared" si="3"/>
      </c>
      <c r="AM8" s="396">
        <f t="shared" si="3"/>
      </c>
      <c r="AN8" s="396">
        <f t="shared" si="3"/>
      </c>
      <c r="AO8" s="396">
        <f t="shared" si="3"/>
      </c>
      <c r="AP8" s="398">
        <f t="shared" si="3"/>
      </c>
    </row>
    <row r="9" spans="18:42" ht="25.5" customHeight="1" thickBot="1">
      <c r="R9" s="390"/>
      <c r="S9" s="169" t="str">
        <f>'Control-NoIsE Factors &amp; Levels'!$C$4</f>
        <v>empty</v>
      </c>
      <c r="T9" s="169" t="str">
        <f>'Control-NoIsE Factors &amp; Levels'!$C$5</f>
        <v>Temperature</v>
      </c>
      <c r="U9" s="169" t="str">
        <f>'Control-NoIsE Factors &amp; Levels'!$C$6</f>
        <v>Pressure</v>
      </c>
      <c r="V9" s="169" t="str">
        <f>'Control-NoIsE Factors &amp; Levels'!$C$7</f>
        <v>Nitrogen</v>
      </c>
      <c r="W9" s="169" t="str">
        <f>'Control-NoIsE Factors &amp; Levels'!$C$8</f>
        <v>Silane</v>
      </c>
      <c r="X9" s="169" t="str">
        <f>'Control-NoIsE Factors &amp; Levels'!$C$9</f>
        <v>Initial Settling time</v>
      </c>
      <c r="Y9" s="169" t="str">
        <f>'Control-NoIsE Factors &amp; Levels'!$C$10</f>
        <v>-</v>
      </c>
      <c r="Z9" s="297" t="str">
        <f>'Control-NoIsE Factors &amp; Levels'!$C$11</f>
        <v>Cleaning Method</v>
      </c>
      <c r="AA9" s="395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9"/>
    </row>
    <row r="10" spans="18:42" ht="15.75" customHeight="1">
      <c r="R10" s="170">
        <v>1</v>
      </c>
      <c r="S10" s="89" t="str">
        <f>'Control-NoIsE Factors &amp; Levels'!$D$4</f>
        <v>empty</v>
      </c>
      <c r="T10" s="89" t="str">
        <f>'Control-NoIsE Factors &amp; Levels'!$D$5</f>
        <v>T1</v>
      </c>
      <c r="U10" s="89" t="str">
        <f>'Control-NoIsE Factors &amp; Levels'!$D$6</f>
        <v>P1</v>
      </c>
      <c r="V10" s="89" t="str">
        <f>'Control-NoIsE Factors &amp; Levels'!$D$7</f>
        <v>N1</v>
      </c>
      <c r="W10" s="89" t="str">
        <f>'Control-NoIsE Factors &amp; Levels'!$D$8</f>
        <v>S1</v>
      </c>
      <c r="X10" s="89" t="str">
        <f>'Control-NoIsE Factors &amp; Levels'!$D$9</f>
        <v>I1</v>
      </c>
      <c r="Y10" s="89" t="str">
        <f>'Control-NoIsE Factors &amp; Levels'!$D$10</f>
        <v>-</v>
      </c>
      <c r="Z10" s="89" t="str">
        <f>'Control-NoIsE Factors &amp; Levels'!$D$11</f>
        <v>C1</v>
      </c>
      <c r="AA10" s="315">
        <f>'Copy Data &amp; calc S-N Ratio QC-B'!E5</f>
        <v>1</v>
      </c>
      <c r="AB10" s="316">
        <f>'Copy Data &amp; calc S-N Ratio QC-B'!F5</f>
        <v>0</v>
      </c>
      <c r="AC10" s="317">
        <f>'Copy Data &amp; calc S-N Ratio QC-B'!G5</f>
        <v>1</v>
      </c>
      <c r="AD10" s="317">
        <f>'Copy Data &amp; calc S-N Ratio QC-B'!H5</f>
        <v>2</v>
      </c>
      <c r="AE10" s="317">
        <f>'Copy Data &amp; calc S-N Ratio QC-B'!I5</f>
        <v>0</v>
      </c>
      <c r="AF10" s="317">
        <f>'Copy Data &amp; calc S-N Ratio QC-B'!J5</f>
        <v>0</v>
      </c>
      <c r="AG10" s="317">
        <f>'Copy Data &amp; calc S-N Ratio QC-B'!K5</f>
        <v>1</v>
      </c>
      <c r="AH10" s="317">
        <f>'Copy Data &amp; calc S-N Ratio QC-B'!L5</f>
        <v>1</v>
      </c>
      <c r="AI10" s="317">
        <f>'Copy Data &amp; calc S-N Ratio QC-B'!M5</f>
        <v>0</v>
      </c>
      <c r="AJ10" s="317">
        <f>'Copy Data &amp; calc S-N Ratio QC-B'!N5</f>
      </c>
      <c r="AK10" s="317">
        <f>'Copy Data &amp; calc S-N Ratio QC-B'!O5</f>
      </c>
      <c r="AL10" s="317">
        <f>'Copy Data &amp; calc S-N Ratio QC-B'!P5</f>
      </c>
      <c r="AM10" s="317">
        <f>'Copy Data &amp; calc S-N Ratio QC-B'!Q5</f>
      </c>
      <c r="AN10" s="317">
        <f>'Copy Data &amp; calc S-N Ratio QC-B'!R5</f>
      </c>
      <c r="AO10" s="317">
        <f>'Copy Data &amp; calc S-N Ratio QC-B'!S5</f>
      </c>
      <c r="AP10" s="318">
        <f>'Copy Data &amp; calc S-N Ratio QC-B'!T5</f>
      </c>
    </row>
    <row r="11" spans="18:42" ht="15.75" customHeight="1">
      <c r="R11" s="170">
        <v>2</v>
      </c>
      <c r="S11" s="89" t="str">
        <f>'Control-NoIsE Factors &amp; Levels'!$D$4</f>
        <v>empty</v>
      </c>
      <c r="T11" s="89" t="str">
        <f>'Control-NoIsE Factors &amp; Levels'!$D$5</f>
        <v>T1</v>
      </c>
      <c r="U11" s="89" t="str">
        <f>'Control-NoIsE Factors &amp; Levels'!$E$6</f>
        <v>P2</v>
      </c>
      <c r="V11" s="89" t="str">
        <f>'Control-NoIsE Factors &amp; Levels'!$E$7</f>
        <v>N2</v>
      </c>
      <c r="W11" s="89" t="str">
        <f>'Control-NoIsE Factors &amp; Levels'!$E$8</f>
        <v>S2</v>
      </c>
      <c r="X11" s="89" t="str">
        <f>'Control-NoIsE Factors &amp; Levels'!$E$9</f>
        <v>I2</v>
      </c>
      <c r="Y11" s="89" t="str">
        <f>'Control-NoIsE Factors &amp; Levels'!$E$10</f>
        <v>-</v>
      </c>
      <c r="Z11" s="89" t="str">
        <f>'Control-NoIsE Factors &amp; Levels'!$E$11</f>
        <v>C2</v>
      </c>
      <c r="AA11" s="319">
        <f>'Copy Data &amp; calc S-N Ratio QC-B'!E6</f>
        <v>1</v>
      </c>
      <c r="AB11" s="320">
        <f>'Copy Data &amp; calc S-N Ratio QC-B'!F6</f>
        <v>2</v>
      </c>
      <c r="AC11" s="321">
        <f>'Copy Data &amp; calc S-N Ratio QC-B'!G6</f>
        <v>8</v>
      </c>
      <c r="AD11" s="321">
        <f>'Copy Data &amp; calc S-N Ratio QC-B'!H6</f>
        <v>180</v>
      </c>
      <c r="AE11" s="321">
        <f>'Copy Data &amp; calc S-N Ratio QC-B'!I6</f>
        <v>5</v>
      </c>
      <c r="AF11" s="321">
        <f>'Copy Data &amp; calc S-N Ratio QC-B'!J6</f>
        <v>0</v>
      </c>
      <c r="AG11" s="321">
        <f>'Copy Data &amp; calc S-N Ratio QC-B'!K6</f>
        <v>126</v>
      </c>
      <c r="AH11" s="321">
        <f>'Copy Data &amp; calc S-N Ratio QC-B'!L6</f>
        <v>3</v>
      </c>
      <c r="AI11" s="321">
        <f>'Copy Data &amp; calc S-N Ratio QC-B'!M6</f>
        <v>1</v>
      </c>
      <c r="AJ11" s="321">
        <f>'Copy Data &amp; calc S-N Ratio QC-B'!N6</f>
      </c>
      <c r="AK11" s="321">
        <f>'Copy Data &amp; calc S-N Ratio QC-B'!O6</f>
      </c>
      <c r="AL11" s="321">
        <f>'Copy Data &amp; calc S-N Ratio QC-B'!P6</f>
      </c>
      <c r="AM11" s="321">
        <f>'Copy Data &amp; calc S-N Ratio QC-B'!Q6</f>
      </c>
      <c r="AN11" s="321">
        <f>'Copy Data &amp; calc S-N Ratio QC-B'!R6</f>
      </c>
      <c r="AO11" s="321">
        <f>'Copy Data &amp; calc S-N Ratio QC-B'!S6</f>
      </c>
      <c r="AP11" s="322">
        <f>'Copy Data &amp; calc S-N Ratio QC-B'!T6</f>
      </c>
    </row>
    <row r="12" spans="18:42" ht="15.75" customHeight="1">
      <c r="R12" s="170">
        <v>3</v>
      </c>
      <c r="S12" s="89" t="str">
        <f>'Control-NoIsE Factors &amp; Levels'!$D$4</f>
        <v>empty</v>
      </c>
      <c r="T12" s="89" t="str">
        <f>'Control-NoIsE Factors &amp; Levels'!$D$5</f>
        <v>T1</v>
      </c>
      <c r="U12" s="89" t="str">
        <f>'Control-NoIsE Factors &amp; Levels'!$F$6</f>
        <v>P3</v>
      </c>
      <c r="V12" s="89" t="str">
        <f>'Control-NoIsE Factors &amp; Levels'!$F$7</f>
        <v>N3</v>
      </c>
      <c r="W12" s="89" t="str">
        <f>'Control-NoIsE Factors &amp; Levels'!$F$8</f>
        <v>S3</v>
      </c>
      <c r="X12" s="89" t="str">
        <f>'Control-NoIsE Factors &amp; Levels'!$F$9</f>
        <v>I3</v>
      </c>
      <c r="Y12" s="89" t="str">
        <f>'Control-NoIsE Factors &amp; Levels'!$F$10</f>
        <v>-</v>
      </c>
      <c r="Z12" s="89" t="str">
        <f>'Control-NoIsE Factors &amp; Levels'!$F$11</f>
        <v>C3</v>
      </c>
      <c r="AA12" s="319">
        <f>'Copy Data &amp; calc S-N Ratio QC-B'!E7</f>
        <v>3</v>
      </c>
      <c r="AB12" s="320">
        <f>'Copy Data &amp; calc S-N Ratio QC-B'!F7</f>
        <v>35</v>
      </c>
      <c r="AC12" s="321">
        <f>'Copy Data &amp; calc S-N Ratio QC-B'!G7</f>
        <v>106</v>
      </c>
      <c r="AD12" s="321">
        <f>'Copy Data &amp; calc S-N Ratio QC-B'!H7</f>
        <v>360</v>
      </c>
      <c r="AE12" s="321">
        <f>'Copy Data &amp; calc S-N Ratio QC-B'!I7</f>
        <v>38</v>
      </c>
      <c r="AF12" s="321">
        <f>'Copy Data &amp; calc S-N Ratio QC-B'!J7</f>
        <v>135</v>
      </c>
      <c r="AG12" s="321">
        <f>'Copy Data &amp; calc S-N Ratio QC-B'!K7</f>
        <v>315</v>
      </c>
      <c r="AH12" s="321">
        <f>'Copy Data &amp; calc S-N Ratio QC-B'!L7</f>
        <v>50</v>
      </c>
      <c r="AI12" s="321">
        <f>'Copy Data &amp; calc S-N Ratio QC-B'!M7</f>
        <v>180</v>
      </c>
      <c r="AJ12" s="321">
        <f>'Copy Data &amp; calc S-N Ratio QC-B'!N7</f>
      </c>
      <c r="AK12" s="321">
        <f>'Copy Data &amp; calc S-N Ratio QC-B'!O7</f>
      </c>
      <c r="AL12" s="321">
        <f>'Copy Data &amp; calc S-N Ratio QC-B'!P7</f>
      </c>
      <c r="AM12" s="321">
        <f>'Copy Data &amp; calc S-N Ratio QC-B'!Q7</f>
      </c>
      <c r="AN12" s="321">
        <f>'Copy Data &amp; calc S-N Ratio QC-B'!R7</f>
      </c>
      <c r="AO12" s="321">
        <f>'Copy Data &amp; calc S-N Ratio QC-B'!S7</f>
      </c>
      <c r="AP12" s="322">
        <f>'Copy Data &amp; calc S-N Ratio QC-B'!T7</f>
      </c>
    </row>
    <row r="13" spans="18:42" ht="15.75" customHeight="1">
      <c r="R13" s="170">
        <v>4</v>
      </c>
      <c r="S13" s="89" t="str">
        <f>'Control-NoIsE Factors &amp; Levels'!$D$4</f>
        <v>empty</v>
      </c>
      <c r="T13" s="89" t="str">
        <f>'Control-NoIsE Factors &amp; Levels'!$E$5</f>
        <v>T2</v>
      </c>
      <c r="U13" s="89" t="str">
        <f>'Control-NoIsE Factors &amp; Levels'!$D$6</f>
        <v>P1</v>
      </c>
      <c r="V13" s="89" t="str">
        <f>'Control-NoIsE Factors &amp; Levels'!$D$7</f>
        <v>N1</v>
      </c>
      <c r="W13" s="89" t="str">
        <f>'Control-NoIsE Factors &amp; Levels'!$E$8</f>
        <v>S2</v>
      </c>
      <c r="X13" s="89" t="str">
        <f>'Control-NoIsE Factors &amp; Levels'!$E$9</f>
        <v>I2</v>
      </c>
      <c r="Y13" s="89" t="str">
        <f>'Control-NoIsE Factors &amp; Levels'!$F$10</f>
        <v>-</v>
      </c>
      <c r="Z13" s="89" t="str">
        <f>'Control-NoIsE Factors &amp; Levels'!$F$11</f>
        <v>C3</v>
      </c>
      <c r="AA13" s="319">
        <f>'Copy Data &amp; calc S-N Ratio QC-B'!E8</f>
        <v>6</v>
      </c>
      <c r="AB13" s="320">
        <f>'Copy Data &amp; calc S-N Ratio QC-B'!F8</f>
        <v>15</v>
      </c>
      <c r="AC13" s="321">
        <f>'Copy Data &amp; calc S-N Ratio QC-B'!G8</f>
        <v>6</v>
      </c>
      <c r="AD13" s="321">
        <f>'Copy Data &amp; calc S-N Ratio QC-B'!H8</f>
        <v>17</v>
      </c>
      <c r="AE13" s="321">
        <f>'Copy Data &amp; calc S-N Ratio QC-B'!I8</f>
        <v>20</v>
      </c>
      <c r="AF13" s="321">
        <f>'Copy Data &amp; calc S-N Ratio QC-B'!J8</f>
        <v>16</v>
      </c>
      <c r="AG13" s="321">
        <f>'Copy Data &amp; calc S-N Ratio QC-B'!K8</f>
        <v>15</v>
      </c>
      <c r="AH13" s="321">
        <f>'Copy Data &amp; calc S-N Ratio QC-B'!L8</f>
        <v>40</v>
      </c>
      <c r="AI13" s="321">
        <f>'Copy Data &amp; calc S-N Ratio QC-B'!M8</f>
        <v>18</v>
      </c>
      <c r="AJ13" s="321">
        <f>'Copy Data &amp; calc S-N Ratio QC-B'!N8</f>
      </c>
      <c r="AK13" s="321">
        <f>'Copy Data &amp; calc S-N Ratio QC-B'!O8</f>
      </c>
      <c r="AL13" s="321">
        <f>'Copy Data &amp; calc S-N Ratio QC-B'!P8</f>
      </c>
      <c r="AM13" s="321">
        <f>'Copy Data &amp; calc S-N Ratio QC-B'!Q8</f>
      </c>
      <c r="AN13" s="321">
        <f>'Copy Data &amp; calc S-N Ratio QC-B'!R8</f>
      </c>
      <c r="AO13" s="321">
        <f>'Copy Data &amp; calc S-N Ratio QC-B'!S8</f>
      </c>
      <c r="AP13" s="322">
        <f>'Copy Data &amp; calc S-N Ratio QC-B'!T8</f>
      </c>
    </row>
    <row r="14" spans="18:42" ht="15.75" customHeight="1">
      <c r="R14" s="170">
        <v>5</v>
      </c>
      <c r="S14" s="89" t="str">
        <f>'Control-NoIsE Factors &amp; Levels'!$D$4</f>
        <v>empty</v>
      </c>
      <c r="T14" s="89" t="str">
        <f>'Control-NoIsE Factors &amp; Levels'!$E$5</f>
        <v>T2</v>
      </c>
      <c r="U14" s="89" t="str">
        <f>'Control-NoIsE Factors &amp; Levels'!$E$6</f>
        <v>P2</v>
      </c>
      <c r="V14" s="89" t="str">
        <f>'Control-NoIsE Factors &amp; Levels'!$E$7</f>
        <v>N2</v>
      </c>
      <c r="W14" s="89" t="str">
        <f>'Control-NoIsE Factors &amp; Levels'!$F$8</f>
        <v>S3</v>
      </c>
      <c r="X14" s="89" t="str">
        <f>'Control-NoIsE Factors &amp; Levels'!$F$9</f>
        <v>I3</v>
      </c>
      <c r="Y14" s="89" t="str">
        <f>'Control-NoIsE Factors &amp; Levels'!$D$10</f>
        <v>-</v>
      </c>
      <c r="Z14" s="89" t="str">
        <f>'Control-NoIsE Factors &amp; Levels'!$D$11</f>
        <v>C1</v>
      </c>
      <c r="AA14" s="319">
        <f>'Copy Data &amp; calc S-N Ratio QC-B'!E9</f>
        <v>1720</v>
      </c>
      <c r="AB14" s="320">
        <f>'Copy Data &amp; calc S-N Ratio QC-B'!F9</f>
        <v>1980</v>
      </c>
      <c r="AC14" s="321">
        <f>'Copy Data &amp; calc S-N Ratio QC-B'!G9</f>
        <v>2000</v>
      </c>
      <c r="AD14" s="321">
        <f>'Copy Data &amp; calc S-N Ratio QC-B'!H9</f>
        <v>487</v>
      </c>
      <c r="AE14" s="321">
        <f>'Copy Data &amp; calc S-N Ratio QC-B'!I9</f>
        <v>810</v>
      </c>
      <c r="AF14" s="321">
        <f>'Copy Data &amp; calc S-N Ratio QC-B'!J9</f>
        <v>400</v>
      </c>
      <c r="AG14" s="321">
        <f>'Copy Data &amp; calc S-N Ratio QC-B'!K9</f>
        <v>2020</v>
      </c>
      <c r="AH14" s="321">
        <f>'Copy Data &amp; calc S-N Ratio QC-B'!L9</f>
        <v>360</v>
      </c>
      <c r="AI14" s="321">
        <f>'Copy Data &amp; calc S-N Ratio QC-B'!M9</f>
        <v>12</v>
      </c>
      <c r="AJ14" s="321">
        <f>'Copy Data &amp; calc S-N Ratio QC-B'!N9</f>
      </c>
      <c r="AK14" s="321">
        <f>'Copy Data &amp; calc S-N Ratio QC-B'!O9</f>
      </c>
      <c r="AL14" s="321">
        <f>'Copy Data &amp; calc S-N Ratio QC-B'!P9</f>
      </c>
      <c r="AM14" s="321">
        <f>'Copy Data &amp; calc S-N Ratio QC-B'!Q9</f>
      </c>
      <c r="AN14" s="321">
        <f>'Copy Data &amp; calc S-N Ratio QC-B'!R9</f>
      </c>
      <c r="AO14" s="321">
        <f>'Copy Data &amp; calc S-N Ratio QC-B'!S9</f>
      </c>
      <c r="AP14" s="322">
        <f>'Copy Data &amp; calc S-N Ratio QC-B'!T9</f>
      </c>
    </row>
    <row r="15" spans="18:42" ht="15.75" customHeight="1">
      <c r="R15" s="170">
        <v>6</v>
      </c>
      <c r="S15" s="89" t="str">
        <f>'Control-NoIsE Factors &amp; Levels'!$D$4</f>
        <v>empty</v>
      </c>
      <c r="T15" s="89" t="str">
        <f>'Control-NoIsE Factors &amp; Levels'!$E$5</f>
        <v>T2</v>
      </c>
      <c r="U15" s="89" t="str">
        <f>'Control-NoIsE Factors &amp; Levels'!$F$6</f>
        <v>P3</v>
      </c>
      <c r="V15" s="89" t="str">
        <f>'Control-NoIsE Factors &amp; Levels'!$F$7</f>
        <v>N3</v>
      </c>
      <c r="W15" s="89" t="str">
        <f>'Control-NoIsE Factors &amp; Levels'!$D$8</f>
        <v>S1</v>
      </c>
      <c r="X15" s="89" t="str">
        <f>'Control-NoIsE Factors &amp; Levels'!$D$9</f>
        <v>I1</v>
      </c>
      <c r="Y15" s="89" t="str">
        <f>'Control-NoIsE Factors &amp; Levels'!$E$10</f>
        <v>-</v>
      </c>
      <c r="Z15" s="89" t="str">
        <f>'Control-NoIsE Factors &amp; Levels'!$E$11</f>
        <v>C2</v>
      </c>
      <c r="AA15" s="319">
        <f>'Copy Data &amp; calc S-N Ratio QC-B'!E10</f>
        <v>135</v>
      </c>
      <c r="AB15" s="320">
        <f>'Copy Data &amp; calc S-N Ratio QC-B'!F10</f>
        <v>360</v>
      </c>
      <c r="AC15" s="321">
        <f>'Copy Data &amp; calc S-N Ratio QC-B'!G10</f>
        <v>1620</v>
      </c>
      <c r="AD15" s="321">
        <f>'Copy Data &amp; calc S-N Ratio QC-B'!H10</f>
        <v>2430</v>
      </c>
      <c r="AE15" s="321">
        <f>'Copy Data &amp; calc S-N Ratio QC-B'!I10</f>
        <v>207</v>
      </c>
      <c r="AF15" s="321">
        <f>'Copy Data &amp; calc S-N Ratio QC-B'!J10</f>
        <v>2</v>
      </c>
      <c r="AG15" s="321">
        <f>'Copy Data &amp; calc S-N Ratio QC-B'!K10</f>
        <v>2500</v>
      </c>
      <c r="AH15" s="321">
        <f>'Copy Data &amp; calc S-N Ratio QC-B'!L10</f>
        <v>270</v>
      </c>
      <c r="AI15" s="321">
        <f>'Copy Data &amp; calc S-N Ratio QC-B'!M10</f>
        <v>35</v>
      </c>
      <c r="AJ15" s="321">
        <f>'Copy Data &amp; calc S-N Ratio QC-B'!N10</f>
      </c>
      <c r="AK15" s="321">
        <f>'Copy Data &amp; calc S-N Ratio QC-B'!O10</f>
      </c>
      <c r="AL15" s="321">
        <f>'Copy Data &amp; calc S-N Ratio QC-B'!P10</f>
      </c>
      <c r="AM15" s="321">
        <f>'Copy Data &amp; calc S-N Ratio QC-B'!Q10</f>
      </c>
      <c r="AN15" s="321">
        <f>'Copy Data &amp; calc S-N Ratio QC-B'!R10</f>
      </c>
      <c r="AO15" s="321">
        <f>'Copy Data &amp; calc S-N Ratio QC-B'!S10</f>
      </c>
      <c r="AP15" s="322">
        <f>'Copy Data &amp; calc S-N Ratio QC-B'!T10</f>
      </c>
    </row>
    <row r="16" spans="18:42" ht="15.75" customHeight="1">
      <c r="R16" s="170">
        <v>7</v>
      </c>
      <c r="S16" s="89" t="str">
        <f>'Control-NoIsE Factors &amp; Levels'!$D$4</f>
        <v>empty</v>
      </c>
      <c r="T16" s="89" t="str">
        <f>'Control-NoIsE Factors &amp; Levels'!$F$5</f>
        <v>T3</v>
      </c>
      <c r="U16" s="89" t="str">
        <f>'Control-NoIsE Factors &amp; Levels'!$D$6</f>
        <v>P1</v>
      </c>
      <c r="V16" s="89" t="str">
        <f>'Control-NoIsE Factors &amp; Levels'!$E$7</f>
        <v>N2</v>
      </c>
      <c r="W16" s="89" t="str">
        <f>'Control-NoIsE Factors &amp; Levels'!$D$8</f>
        <v>S1</v>
      </c>
      <c r="X16" s="89" t="str">
        <f>'Control-NoIsE Factors &amp; Levels'!$F$9</f>
        <v>I3</v>
      </c>
      <c r="Y16" s="89" t="str">
        <f>'Control-NoIsE Factors &amp; Levels'!$E$10</f>
        <v>-</v>
      </c>
      <c r="Z16" s="89" t="str">
        <f>'Control-NoIsE Factors &amp; Levels'!$F$11</f>
        <v>C3</v>
      </c>
      <c r="AA16" s="319">
        <f>'Copy Data &amp; calc S-N Ratio QC-B'!E11</f>
        <v>360</v>
      </c>
      <c r="AB16" s="320">
        <f>'Copy Data &amp; calc S-N Ratio QC-B'!F11</f>
        <v>810</v>
      </c>
      <c r="AC16" s="321">
        <f>'Copy Data &amp; calc S-N Ratio QC-B'!G11</f>
        <v>1215</v>
      </c>
      <c r="AD16" s="321">
        <f>'Copy Data &amp; calc S-N Ratio QC-B'!H11</f>
        <v>1620</v>
      </c>
      <c r="AE16" s="321">
        <f>'Copy Data &amp; calc S-N Ratio QC-B'!I11</f>
        <v>117</v>
      </c>
      <c r="AF16" s="321">
        <f>'Copy Data &amp; calc S-N Ratio QC-B'!J11</f>
        <v>30</v>
      </c>
      <c r="AG16" s="321">
        <f>'Copy Data &amp; calc S-N Ratio QC-B'!K11</f>
        <v>1800</v>
      </c>
      <c r="AH16" s="321">
        <f>'Copy Data &amp; calc S-N Ratio QC-B'!L11</f>
        <v>720</v>
      </c>
      <c r="AI16" s="321">
        <f>'Copy Data &amp; calc S-N Ratio QC-B'!M11</f>
        <v>315</v>
      </c>
      <c r="AJ16" s="321">
        <f>'Copy Data &amp; calc S-N Ratio QC-B'!N11</f>
      </c>
      <c r="AK16" s="321">
        <f>'Copy Data &amp; calc S-N Ratio QC-B'!O11</f>
      </c>
      <c r="AL16" s="321">
        <f>'Copy Data &amp; calc S-N Ratio QC-B'!P11</f>
      </c>
      <c r="AM16" s="321">
        <f>'Copy Data &amp; calc S-N Ratio QC-B'!Q11</f>
      </c>
      <c r="AN16" s="321">
        <f>'Copy Data &amp; calc S-N Ratio QC-B'!R11</f>
      </c>
      <c r="AO16" s="321">
        <f>'Copy Data &amp; calc S-N Ratio QC-B'!S11</f>
      </c>
      <c r="AP16" s="322">
        <f>'Copy Data &amp; calc S-N Ratio QC-B'!T11</f>
      </c>
    </row>
    <row r="17" spans="18:42" ht="15.75" customHeight="1">
      <c r="R17" s="170">
        <v>8</v>
      </c>
      <c r="S17" s="89" t="str">
        <f>'Control-NoIsE Factors &amp; Levels'!$D$4</f>
        <v>empty</v>
      </c>
      <c r="T17" s="89" t="str">
        <f>'Control-NoIsE Factors &amp; Levels'!$F$5</f>
        <v>T3</v>
      </c>
      <c r="U17" s="89" t="str">
        <f>'Control-NoIsE Factors &amp; Levels'!$E$6</f>
        <v>P2</v>
      </c>
      <c r="V17" s="89" t="str">
        <f>'Control-NoIsE Factors &amp; Levels'!$F$7</f>
        <v>N3</v>
      </c>
      <c r="W17" s="89" t="str">
        <f>'Control-NoIsE Factors &amp; Levels'!$E$8</f>
        <v>S2</v>
      </c>
      <c r="X17" s="89" t="str">
        <f>'Control-NoIsE Factors &amp; Levels'!$D$9</f>
        <v>I1</v>
      </c>
      <c r="Y17" s="89" t="str">
        <f>'Control-NoIsE Factors &amp; Levels'!$F$10</f>
        <v>-</v>
      </c>
      <c r="Z17" s="89" t="str">
        <f>'Control-NoIsE Factors &amp; Levels'!$D$11</f>
        <v>C1</v>
      </c>
      <c r="AA17" s="319">
        <f>'Copy Data &amp; calc S-N Ratio QC-B'!E12</f>
        <v>270</v>
      </c>
      <c r="AB17" s="320">
        <f>'Copy Data &amp; calc S-N Ratio QC-B'!F12</f>
        <v>2730</v>
      </c>
      <c r="AC17" s="321">
        <f>'Copy Data &amp; calc S-N Ratio QC-B'!G12</f>
        <v>5000</v>
      </c>
      <c r="AD17" s="321">
        <f>'Copy Data &amp; calc S-N Ratio QC-B'!H12</f>
        <v>360</v>
      </c>
      <c r="AE17" s="321">
        <f>'Copy Data &amp; calc S-N Ratio QC-B'!I12</f>
        <v>1</v>
      </c>
      <c r="AF17" s="321">
        <f>'Copy Data &amp; calc S-N Ratio QC-B'!J12</f>
        <v>2</v>
      </c>
      <c r="AG17" s="321">
        <f>'Copy Data &amp; calc S-N Ratio QC-B'!K12</f>
        <v>9999</v>
      </c>
      <c r="AH17" s="321">
        <f>'Copy Data &amp; calc S-N Ratio QC-B'!L12</f>
        <v>225</v>
      </c>
      <c r="AI17" s="321">
        <f>'Copy Data &amp; calc S-N Ratio QC-B'!M12</f>
        <v>1</v>
      </c>
      <c r="AJ17" s="321">
        <f>'Copy Data &amp; calc S-N Ratio QC-B'!N12</f>
      </c>
      <c r="AK17" s="321">
        <f>'Copy Data &amp; calc S-N Ratio QC-B'!O12</f>
      </c>
      <c r="AL17" s="321">
        <f>'Copy Data &amp; calc S-N Ratio QC-B'!P12</f>
      </c>
      <c r="AM17" s="321">
        <f>'Copy Data &amp; calc S-N Ratio QC-B'!Q12</f>
      </c>
      <c r="AN17" s="321">
        <f>'Copy Data &amp; calc S-N Ratio QC-B'!R12</f>
      </c>
      <c r="AO17" s="321">
        <f>'Copy Data &amp; calc S-N Ratio QC-B'!S12</f>
      </c>
      <c r="AP17" s="322">
        <f>'Copy Data &amp; calc S-N Ratio QC-B'!T12</f>
      </c>
    </row>
    <row r="18" spans="18:42" ht="15.75" customHeight="1">
      <c r="R18" s="171">
        <v>9</v>
      </c>
      <c r="S18" s="89" t="str">
        <f>'Control-NoIsE Factors &amp; Levels'!$D$4</f>
        <v>empty</v>
      </c>
      <c r="T18" s="89" t="str">
        <f>'Control-NoIsE Factors &amp; Levels'!$F$5</f>
        <v>T3</v>
      </c>
      <c r="U18" s="89" t="str">
        <f>'Control-NoIsE Factors &amp; Levels'!$F$6</f>
        <v>P3</v>
      </c>
      <c r="V18" s="89" t="str">
        <f>'Control-NoIsE Factors &amp; Levels'!$D$7</f>
        <v>N1</v>
      </c>
      <c r="W18" s="89" t="str">
        <f>'Control-NoIsE Factors &amp; Levels'!$F$8</f>
        <v>S3</v>
      </c>
      <c r="X18" s="89" t="str">
        <f>'Control-NoIsE Factors &amp; Levels'!$E$9</f>
        <v>I2</v>
      </c>
      <c r="Y18" s="89" t="str">
        <f>'Control-NoIsE Factors &amp; Levels'!$D$10</f>
        <v>-</v>
      </c>
      <c r="Z18" s="89" t="str">
        <f>'Control-NoIsE Factors &amp; Levels'!$E$11</f>
        <v>C2</v>
      </c>
      <c r="AA18" s="323">
        <f>'Copy Data &amp; calc S-N Ratio QC-B'!E13</f>
        <v>5000</v>
      </c>
      <c r="AB18" s="321">
        <f>'Copy Data &amp; calc S-N Ratio QC-B'!F13</f>
        <v>1000</v>
      </c>
      <c r="AC18" s="321">
        <f>'Copy Data &amp; calc S-N Ratio QC-B'!G13</f>
        <v>1000</v>
      </c>
      <c r="AD18" s="321">
        <f>'Copy Data &amp; calc S-N Ratio QC-B'!H13</f>
        <v>3000</v>
      </c>
      <c r="AE18" s="321">
        <f>'Copy Data &amp; calc S-N Ratio QC-B'!I13</f>
        <v>1000</v>
      </c>
      <c r="AF18" s="321">
        <f>'Copy Data &amp; calc S-N Ratio QC-B'!J13</f>
        <v>1000</v>
      </c>
      <c r="AG18" s="321">
        <f>'Copy Data &amp; calc S-N Ratio QC-B'!K13</f>
        <v>3000</v>
      </c>
      <c r="AH18" s="321">
        <f>'Copy Data &amp; calc S-N Ratio QC-B'!L13</f>
        <v>2800</v>
      </c>
      <c r="AI18" s="321">
        <f>'Copy Data &amp; calc S-N Ratio QC-B'!M13</f>
        <v>2000</v>
      </c>
      <c r="AJ18" s="321">
        <f>'Copy Data &amp; calc S-N Ratio QC-B'!N13</f>
      </c>
      <c r="AK18" s="321">
        <f>'Copy Data &amp; calc S-N Ratio QC-B'!O13</f>
      </c>
      <c r="AL18" s="321">
        <f>'Copy Data &amp; calc S-N Ratio QC-B'!P13</f>
      </c>
      <c r="AM18" s="321">
        <f>'Copy Data &amp; calc S-N Ratio QC-B'!Q13</f>
      </c>
      <c r="AN18" s="321">
        <f>'Copy Data &amp; calc S-N Ratio QC-B'!R13</f>
      </c>
      <c r="AO18" s="321">
        <f>'Copy Data &amp; calc S-N Ratio QC-B'!S13</f>
      </c>
      <c r="AP18" s="322">
        <f>'Copy Data &amp; calc S-N Ratio QC-B'!T13</f>
      </c>
    </row>
    <row r="19" spans="18:42" ht="15.75" customHeight="1">
      <c r="R19" s="170">
        <v>10</v>
      </c>
      <c r="S19" s="89" t="str">
        <f>'Control-NoIsE Factors &amp; Levels'!$E$4</f>
        <v>empty</v>
      </c>
      <c r="T19" s="89" t="str">
        <f>'Control-NoIsE Factors &amp; Levels'!$D$5</f>
        <v>T1</v>
      </c>
      <c r="U19" s="89" t="str">
        <f>'Control-NoIsE Factors &amp; Levels'!$D$6</f>
        <v>P1</v>
      </c>
      <c r="V19" s="89" t="str">
        <f>'Control-NoIsE Factors &amp; Levels'!$F$7</f>
        <v>N3</v>
      </c>
      <c r="W19" s="89" t="str">
        <f>'Control-NoIsE Factors &amp; Levels'!$F$8</f>
        <v>S3</v>
      </c>
      <c r="X19" s="89" t="str">
        <f>'Control-NoIsE Factors &amp; Levels'!$E$9</f>
        <v>I2</v>
      </c>
      <c r="Y19" s="89" t="str">
        <f>'Control-NoIsE Factors &amp; Levels'!$E$10</f>
        <v>-</v>
      </c>
      <c r="Z19" s="89" t="str">
        <f>'Control-NoIsE Factors &amp; Levels'!$D$11</f>
        <v>C1</v>
      </c>
      <c r="AA19" s="323">
        <f>'Copy Data &amp; calc S-N Ratio QC-B'!E14</f>
        <v>3</v>
      </c>
      <c r="AB19" s="321">
        <f>'Copy Data &amp; calc S-N Ratio QC-B'!F14</f>
        <v>0</v>
      </c>
      <c r="AC19" s="321">
        <f>'Copy Data &amp; calc S-N Ratio QC-B'!G14</f>
        <v>0</v>
      </c>
      <c r="AD19" s="321">
        <f>'Copy Data &amp; calc S-N Ratio QC-B'!H14</f>
        <v>3</v>
      </c>
      <c r="AE19" s="321">
        <f>'Copy Data &amp; calc S-N Ratio QC-B'!I14</f>
        <v>0</v>
      </c>
      <c r="AF19" s="321">
        <f>'Copy Data &amp; calc S-N Ratio QC-B'!J14</f>
        <v>0</v>
      </c>
      <c r="AG19" s="321">
        <f>'Copy Data &amp; calc S-N Ratio QC-B'!K14</f>
        <v>1</v>
      </c>
      <c r="AH19" s="321">
        <f>'Copy Data &amp; calc S-N Ratio QC-B'!L14</f>
        <v>0</v>
      </c>
      <c r="AI19" s="321">
        <f>'Copy Data &amp; calc S-N Ratio QC-B'!M14</f>
        <v>1</v>
      </c>
      <c r="AJ19" s="321">
        <f>'Copy Data &amp; calc S-N Ratio QC-B'!N14</f>
      </c>
      <c r="AK19" s="321">
        <f>'Copy Data &amp; calc S-N Ratio QC-B'!O14</f>
      </c>
      <c r="AL19" s="321">
        <f>'Copy Data &amp; calc S-N Ratio QC-B'!P14</f>
      </c>
      <c r="AM19" s="321">
        <f>'Copy Data &amp; calc S-N Ratio QC-B'!Q14</f>
      </c>
      <c r="AN19" s="321">
        <f>'Copy Data &amp; calc S-N Ratio QC-B'!R14</f>
      </c>
      <c r="AO19" s="321">
        <f>'Copy Data &amp; calc S-N Ratio QC-B'!S14</f>
      </c>
      <c r="AP19" s="322">
        <f>'Copy Data &amp; calc S-N Ratio QC-B'!T14</f>
      </c>
    </row>
    <row r="20" spans="18:42" ht="15.75" customHeight="1">
      <c r="R20" s="170">
        <v>11</v>
      </c>
      <c r="S20" s="89" t="str">
        <f>'Control-NoIsE Factors &amp; Levels'!$E$4</f>
        <v>empty</v>
      </c>
      <c r="T20" s="89" t="str">
        <f>'Control-NoIsE Factors &amp; Levels'!$D$5</f>
        <v>T1</v>
      </c>
      <c r="U20" s="89" t="str">
        <f>'Control-NoIsE Factors &amp; Levels'!$E$6</f>
        <v>P2</v>
      </c>
      <c r="V20" s="89" t="str">
        <f>'Control-NoIsE Factors &amp; Levels'!$D$7</f>
        <v>N1</v>
      </c>
      <c r="W20" s="89" t="str">
        <f>'Control-NoIsE Factors &amp; Levels'!$D$8</f>
        <v>S1</v>
      </c>
      <c r="X20" s="89" t="str">
        <f>'Control-NoIsE Factors &amp; Levels'!$F$9</f>
        <v>I3</v>
      </c>
      <c r="Y20" s="89" t="str">
        <f>'Control-NoIsE Factors &amp; Levels'!$F$10</f>
        <v>-</v>
      </c>
      <c r="Z20" s="89" t="str">
        <f>'Control-NoIsE Factors &amp; Levels'!$E$11</f>
        <v>C2</v>
      </c>
      <c r="AA20" s="323">
        <f>'Copy Data &amp; calc S-N Ratio QC-B'!E15</f>
        <v>1</v>
      </c>
      <c r="AB20" s="321">
        <f>'Copy Data &amp; calc S-N Ratio QC-B'!F15</f>
        <v>0</v>
      </c>
      <c r="AC20" s="321">
        <f>'Copy Data &amp; calc S-N Ratio QC-B'!G15</f>
        <v>1</v>
      </c>
      <c r="AD20" s="321">
        <f>'Copy Data &amp; calc S-N Ratio QC-B'!H15</f>
        <v>5</v>
      </c>
      <c r="AE20" s="321">
        <f>'Copy Data &amp; calc S-N Ratio QC-B'!I15</f>
        <v>0</v>
      </c>
      <c r="AF20" s="321">
        <f>'Copy Data &amp; calc S-N Ratio QC-B'!J15</f>
        <v>0</v>
      </c>
      <c r="AG20" s="321">
        <f>'Copy Data &amp; calc S-N Ratio QC-B'!K15</f>
        <v>1</v>
      </c>
      <c r="AH20" s="321">
        <f>'Copy Data &amp; calc S-N Ratio QC-B'!L15</f>
        <v>0</v>
      </c>
      <c r="AI20" s="321">
        <f>'Copy Data &amp; calc S-N Ratio QC-B'!M15</f>
        <v>1</v>
      </c>
      <c r="AJ20" s="321">
        <f>'Copy Data &amp; calc S-N Ratio QC-B'!N15</f>
      </c>
      <c r="AK20" s="321">
        <f>'Copy Data &amp; calc S-N Ratio QC-B'!O15</f>
      </c>
      <c r="AL20" s="321">
        <f>'Copy Data &amp; calc S-N Ratio QC-B'!P15</f>
      </c>
      <c r="AM20" s="321">
        <f>'Copy Data &amp; calc S-N Ratio QC-B'!Q15</f>
      </c>
      <c r="AN20" s="321">
        <f>'Copy Data &amp; calc S-N Ratio QC-B'!R15</f>
      </c>
      <c r="AO20" s="321">
        <f>'Copy Data &amp; calc S-N Ratio QC-B'!S15</f>
      </c>
      <c r="AP20" s="322">
        <f>'Copy Data &amp; calc S-N Ratio QC-B'!T15</f>
      </c>
    </row>
    <row r="21" spans="18:42" ht="15.75" customHeight="1">
      <c r="R21" s="170">
        <v>12</v>
      </c>
      <c r="S21" s="89" t="str">
        <f>'Control-NoIsE Factors &amp; Levels'!$E$4</f>
        <v>empty</v>
      </c>
      <c r="T21" s="89" t="str">
        <f>'Control-NoIsE Factors &amp; Levels'!$D$5</f>
        <v>T1</v>
      </c>
      <c r="U21" s="89" t="str">
        <f>'Control-NoIsE Factors &amp; Levels'!$F$6</f>
        <v>P3</v>
      </c>
      <c r="V21" s="89" t="str">
        <f>'Control-NoIsE Factors &amp; Levels'!$E$7</f>
        <v>N2</v>
      </c>
      <c r="W21" s="89" t="str">
        <f>'Control-NoIsE Factors &amp; Levels'!$E$8</f>
        <v>S2</v>
      </c>
      <c r="X21" s="89" t="str">
        <f>'Control-NoIsE Factors &amp; Levels'!$D$9</f>
        <v>I1</v>
      </c>
      <c r="Y21" s="89" t="str">
        <f>'Control-NoIsE Factors &amp; Levels'!$D$10</f>
        <v>-</v>
      </c>
      <c r="Z21" s="89" t="str">
        <f>'Control-NoIsE Factors &amp; Levels'!$F$11</f>
        <v>C3</v>
      </c>
      <c r="AA21" s="323">
        <f>'Copy Data &amp; calc S-N Ratio QC-B'!E16</f>
        <v>3</v>
      </c>
      <c r="AB21" s="321">
        <f>'Copy Data &amp; calc S-N Ratio QC-B'!F16</f>
        <v>1620</v>
      </c>
      <c r="AC21" s="321">
        <f>'Copy Data &amp; calc S-N Ratio QC-B'!G16</f>
        <v>90</v>
      </c>
      <c r="AD21" s="321">
        <f>'Copy Data &amp; calc S-N Ratio QC-B'!H16</f>
        <v>216</v>
      </c>
      <c r="AE21" s="321">
        <f>'Copy Data &amp; calc S-N Ratio QC-B'!I16</f>
        <v>5</v>
      </c>
      <c r="AF21" s="321">
        <f>'Copy Data &amp; calc S-N Ratio QC-B'!J16</f>
        <v>4</v>
      </c>
      <c r="AG21" s="321">
        <f>'Copy Data &amp; calc S-N Ratio QC-B'!K16</f>
        <v>270</v>
      </c>
      <c r="AH21" s="321">
        <f>'Copy Data &amp; calc S-N Ratio QC-B'!L16</f>
        <v>8</v>
      </c>
      <c r="AI21" s="321">
        <f>'Copy Data &amp; calc S-N Ratio QC-B'!M16</f>
        <v>3</v>
      </c>
      <c r="AJ21" s="321">
        <f>'Copy Data &amp; calc S-N Ratio QC-B'!N16</f>
      </c>
      <c r="AK21" s="321">
        <f>'Copy Data &amp; calc S-N Ratio QC-B'!O16</f>
      </c>
      <c r="AL21" s="321">
        <f>'Copy Data &amp; calc S-N Ratio QC-B'!P16</f>
      </c>
      <c r="AM21" s="321">
        <f>'Copy Data &amp; calc S-N Ratio QC-B'!Q16</f>
      </c>
      <c r="AN21" s="321">
        <f>'Copy Data &amp; calc S-N Ratio QC-B'!R16</f>
      </c>
      <c r="AO21" s="321">
        <f>'Copy Data &amp; calc S-N Ratio QC-B'!S16</f>
      </c>
      <c r="AP21" s="322">
        <f>'Copy Data &amp; calc S-N Ratio QC-B'!T16</f>
      </c>
    </row>
    <row r="22" spans="18:42" ht="15.75" customHeight="1">
      <c r="R22" s="170">
        <v>13</v>
      </c>
      <c r="S22" s="89" t="str">
        <f>'Control-NoIsE Factors &amp; Levels'!$E$4</f>
        <v>empty</v>
      </c>
      <c r="T22" s="89" t="str">
        <f>'Control-NoIsE Factors &amp; Levels'!$E$5</f>
        <v>T2</v>
      </c>
      <c r="U22" s="89" t="str">
        <f>'Control-NoIsE Factors &amp; Levels'!$D$6</f>
        <v>P1</v>
      </c>
      <c r="V22" s="89" t="str">
        <f>'Control-NoIsE Factors &amp; Levels'!$E$7</f>
        <v>N2</v>
      </c>
      <c r="W22" s="89" t="str">
        <f>'Control-NoIsE Factors &amp; Levels'!$F$8</f>
        <v>S3</v>
      </c>
      <c r="X22" s="89" t="str">
        <f>'Control-NoIsE Factors &amp; Levels'!$D$9</f>
        <v>I1</v>
      </c>
      <c r="Y22" s="89" t="str">
        <f>'Control-NoIsE Factors &amp; Levels'!$F$10</f>
        <v>-</v>
      </c>
      <c r="Z22" s="89" t="str">
        <f>'Control-NoIsE Factors &amp; Levels'!$E$11</f>
        <v>C2</v>
      </c>
      <c r="AA22" s="323">
        <f>'Copy Data &amp; calc S-N Ratio QC-B'!E17</f>
        <v>1</v>
      </c>
      <c r="AB22" s="321">
        <f>'Copy Data &amp; calc S-N Ratio QC-B'!F17</f>
        <v>25</v>
      </c>
      <c r="AC22" s="321">
        <f>'Copy Data &amp; calc S-N Ratio QC-B'!G17</f>
        <v>270</v>
      </c>
      <c r="AD22" s="321">
        <f>'Copy Data &amp; calc S-N Ratio QC-B'!H17</f>
        <v>810</v>
      </c>
      <c r="AE22" s="321">
        <f>'Copy Data &amp; calc S-N Ratio QC-B'!I17</f>
        <v>16</v>
      </c>
      <c r="AF22" s="321">
        <f>'Copy Data &amp; calc S-N Ratio QC-B'!J17</f>
        <v>1</v>
      </c>
      <c r="AG22" s="321">
        <f>'Copy Data &amp; calc S-N Ratio QC-B'!K17</f>
        <v>225</v>
      </c>
      <c r="AH22" s="321">
        <f>'Copy Data &amp; calc S-N Ratio QC-B'!L17</f>
        <v>3</v>
      </c>
      <c r="AI22" s="321">
        <f>'Copy Data &amp; calc S-N Ratio QC-B'!M17</f>
        <v>0</v>
      </c>
      <c r="AJ22" s="321">
        <f>'Copy Data &amp; calc S-N Ratio QC-B'!N17</f>
      </c>
      <c r="AK22" s="321">
        <f>'Copy Data &amp; calc S-N Ratio QC-B'!O17</f>
      </c>
      <c r="AL22" s="321">
        <f>'Copy Data &amp; calc S-N Ratio QC-B'!P17</f>
      </c>
      <c r="AM22" s="321">
        <f>'Copy Data &amp; calc S-N Ratio QC-B'!Q17</f>
      </c>
      <c r="AN22" s="321">
        <f>'Copy Data &amp; calc S-N Ratio QC-B'!R17</f>
      </c>
      <c r="AO22" s="321">
        <f>'Copy Data &amp; calc S-N Ratio QC-B'!S17</f>
      </c>
      <c r="AP22" s="322">
        <f>'Copy Data &amp; calc S-N Ratio QC-B'!T17</f>
      </c>
    </row>
    <row r="23" spans="18:42" ht="15.75" customHeight="1">
      <c r="R23" s="170">
        <v>14</v>
      </c>
      <c r="S23" s="89" t="str">
        <f>'Control-NoIsE Factors &amp; Levels'!$E$4</f>
        <v>empty</v>
      </c>
      <c r="T23" s="89" t="str">
        <f>'Control-NoIsE Factors &amp; Levels'!$E$5</f>
        <v>T2</v>
      </c>
      <c r="U23" s="89" t="str">
        <f>'Control-NoIsE Factors &amp; Levels'!$E$6</f>
        <v>P2</v>
      </c>
      <c r="V23" s="89" t="str">
        <f>'Control-NoIsE Factors &amp; Levels'!$F$7</f>
        <v>N3</v>
      </c>
      <c r="W23" s="89" t="str">
        <f>'Control-NoIsE Factors &amp; Levels'!$D$8</f>
        <v>S1</v>
      </c>
      <c r="X23" s="89" t="str">
        <f>'Control-NoIsE Factors &amp; Levels'!$E$9</f>
        <v>I2</v>
      </c>
      <c r="Y23" s="89" t="str">
        <f>'Control-NoIsE Factors &amp; Levels'!$D$10</f>
        <v>-</v>
      </c>
      <c r="Z23" s="89" t="str">
        <f>'Control-NoIsE Factors &amp; Levels'!$F$11</f>
        <v>C3</v>
      </c>
      <c r="AA23" s="323">
        <f>'Copy Data &amp; calc S-N Ratio QC-B'!E18</f>
        <v>3</v>
      </c>
      <c r="AB23" s="321">
        <f>'Copy Data &amp; calc S-N Ratio QC-B'!F18</f>
        <v>21</v>
      </c>
      <c r="AC23" s="321">
        <f>'Copy Data &amp; calc S-N Ratio QC-B'!G18</f>
        <v>162</v>
      </c>
      <c r="AD23" s="321">
        <f>'Copy Data &amp; calc S-N Ratio QC-B'!H18</f>
        <v>90</v>
      </c>
      <c r="AE23" s="321">
        <f>'Copy Data &amp; calc S-N Ratio QC-B'!I18</f>
        <v>6</v>
      </c>
      <c r="AF23" s="321">
        <f>'Copy Data &amp; calc S-N Ratio QC-B'!J18</f>
        <v>1</v>
      </c>
      <c r="AG23" s="321">
        <f>'Copy Data &amp; calc S-N Ratio QC-B'!K18</f>
        <v>63</v>
      </c>
      <c r="AH23" s="321">
        <f>'Copy Data &amp; calc S-N Ratio QC-B'!L18</f>
        <v>15</v>
      </c>
      <c r="AI23" s="321">
        <f>'Copy Data &amp; calc S-N Ratio QC-B'!M18</f>
        <v>39</v>
      </c>
      <c r="AJ23" s="321">
        <f>'Copy Data &amp; calc S-N Ratio QC-B'!N18</f>
      </c>
      <c r="AK23" s="321">
        <f>'Copy Data &amp; calc S-N Ratio QC-B'!O18</f>
      </c>
      <c r="AL23" s="321">
        <f>'Copy Data &amp; calc S-N Ratio QC-B'!P18</f>
      </c>
      <c r="AM23" s="321">
        <f>'Copy Data &amp; calc S-N Ratio QC-B'!Q18</f>
      </c>
      <c r="AN23" s="321">
        <f>'Copy Data &amp; calc S-N Ratio QC-B'!R18</f>
      </c>
      <c r="AO23" s="321">
        <f>'Copy Data &amp; calc S-N Ratio QC-B'!S18</f>
      </c>
      <c r="AP23" s="322">
        <f>'Copy Data &amp; calc S-N Ratio QC-B'!T18</f>
      </c>
    </row>
    <row r="24" spans="18:42" ht="15.75" customHeight="1">
      <c r="R24" s="170">
        <v>15</v>
      </c>
      <c r="S24" s="89" t="str">
        <f>'Control-NoIsE Factors &amp; Levels'!$E$4</f>
        <v>empty</v>
      </c>
      <c r="T24" s="89" t="str">
        <f>'Control-NoIsE Factors &amp; Levels'!$E$5</f>
        <v>T2</v>
      </c>
      <c r="U24" s="89" t="str">
        <f>'Control-NoIsE Factors &amp; Levels'!$F$6</f>
        <v>P3</v>
      </c>
      <c r="V24" s="89" t="str">
        <f>'Control-NoIsE Factors &amp; Levels'!$D$7</f>
        <v>N1</v>
      </c>
      <c r="W24" s="89" t="str">
        <f>'Control-NoIsE Factors &amp; Levels'!$E$8</f>
        <v>S2</v>
      </c>
      <c r="X24" s="89" t="str">
        <f>'Control-NoIsE Factors &amp; Levels'!$F$9</f>
        <v>I3</v>
      </c>
      <c r="Y24" s="89" t="str">
        <f>'Control-NoIsE Factors &amp; Levels'!$E$10</f>
        <v>-</v>
      </c>
      <c r="Z24" s="89" t="str">
        <f>'Control-NoIsE Factors &amp; Levels'!$D$11</f>
        <v>C1</v>
      </c>
      <c r="AA24" s="323">
        <f>'Copy Data &amp; calc S-N Ratio QC-B'!E19</f>
        <v>450</v>
      </c>
      <c r="AB24" s="321">
        <f>'Copy Data &amp; calc S-N Ratio QC-B'!F19</f>
        <v>1200</v>
      </c>
      <c r="AC24" s="321">
        <f>'Copy Data &amp; calc S-N Ratio QC-B'!G19</f>
        <v>1800</v>
      </c>
      <c r="AD24" s="321">
        <f>'Copy Data &amp; calc S-N Ratio QC-B'!H19</f>
        <v>2530</v>
      </c>
      <c r="AE24" s="321">
        <f>'Copy Data &amp; calc S-N Ratio QC-B'!I19</f>
        <v>2080</v>
      </c>
      <c r="AF24" s="321">
        <f>'Copy Data &amp; calc S-N Ratio QC-B'!J19</f>
        <v>2080</v>
      </c>
      <c r="AG24" s="321">
        <f>'Copy Data &amp; calc S-N Ratio QC-B'!K19</f>
        <v>1890</v>
      </c>
      <c r="AH24" s="321">
        <f>'Copy Data &amp; calc S-N Ratio QC-B'!L19</f>
        <v>180</v>
      </c>
      <c r="AI24" s="321">
        <f>'Copy Data &amp; calc S-N Ratio QC-B'!M19</f>
        <v>25</v>
      </c>
      <c r="AJ24" s="321">
        <f>'Copy Data &amp; calc S-N Ratio QC-B'!N19</f>
      </c>
      <c r="AK24" s="321">
        <f>'Copy Data &amp; calc S-N Ratio QC-B'!O19</f>
      </c>
      <c r="AL24" s="321">
        <f>'Copy Data &amp; calc S-N Ratio QC-B'!P19</f>
      </c>
      <c r="AM24" s="321">
        <f>'Copy Data &amp; calc S-N Ratio QC-B'!Q19</f>
      </c>
      <c r="AN24" s="321">
        <f>'Copy Data &amp; calc S-N Ratio QC-B'!R19</f>
      </c>
      <c r="AO24" s="321">
        <f>'Copy Data &amp; calc S-N Ratio QC-B'!S19</f>
      </c>
      <c r="AP24" s="322">
        <f>'Copy Data &amp; calc S-N Ratio QC-B'!T19</f>
      </c>
    </row>
    <row r="25" spans="18:42" ht="15.75" customHeight="1">
      <c r="R25" s="170">
        <v>16</v>
      </c>
      <c r="S25" s="89" t="str">
        <f>'Control-NoIsE Factors &amp; Levels'!$E$4</f>
        <v>empty</v>
      </c>
      <c r="T25" s="89" t="str">
        <f>'Control-NoIsE Factors &amp; Levels'!$F$5</f>
        <v>T3</v>
      </c>
      <c r="U25" s="89" t="str">
        <f>'Control-NoIsE Factors &amp; Levels'!$D$6</f>
        <v>P1</v>
      </c>
      <c r="V25" s="89" t="str">
        <f>'Control-NoIsE Factors &amp; Levels'!$F$7</f>
        <v>N3</v>
      </c>
      <c r="W25" s="89" t="str">
        <f>'Control-NoIsE Factors &amp; Levels'!$E$8</f>
        <v>S2</v>
      </c>
      <c r="X25" s="89" t="str">
        <f>'Control-NoIsE Factors &amp; Levels'!$F$9</f>
        <v>I3</v>
      </c>
      <c r="Y25" s="89" t="str">
        <f>'Control-NoIsE Factors &amp; Levels'!$D$10</f>
        <v>-</v>
      </c>
      <c r="Z25" s="89" t="str">
        <f>'Control-NoIsE Factors &amp; Levels'!$E$11</f>
        <v>C2</v>
      </c>
      <c r="AA25" s="323">
        <f>'Copy Data &amp; calc S-N Ratio QC-B'!E20</f>
        <v>5</v>
      </c>
      <c r="AB25" s="321">
        <f>'Copy Data &amp; calc S-N Ratio QC-B'!F20</f>
        <v>6</v>
      </c>
      <c r="AC25" s="321">
        <f>'Copy Data &amp; calc S-N Ratio QC-B'!G20</f>
        <v>40</v>
      </c>
      <c r="AD25" s="321">
        <f>'Copy Data &amp; calc S-N Ratio QC-B'!H20</f>
        <v>54</v>
      </c>
      <c r="AE25" s="321">
        <f>'Copy Data &amp; calc S-N Ratio QC-B'!I20</f>
        <v>0</v>
      </c>
      <c r="AF25" s="321">
        <f>'Copy Data &amp; calc S-N Ratio QC-B'!J20</f>
        <v>8</v>
      </c>
      <c r="AG25" s="321">
        <f>'Copy Data &amp; calc S-N Ratio QC-B'!K20</f>
        <v>15</v>
      </c>
      <c r="AH25" s="321">
        <f>'Copy Data &amp; calc S-N Ratio QC-B'!L20</f>
        <v>1</v>
      </c>
      <c r="AI25" s="321">
        <f>'Copy Data &amp; calc S-N Ratio QC-B'!M20</f>
        <v>1</v>
      </c>
      <c r="AJ25" s="321">
        <f>'Copy Data &amp; calc S-N Ratio QC-B'!N20</f>
      </c>
      <c r="AK25" s="321">
        <f>'Copy Data &amp; calc S-N Ratio QC-B'!O20</f>
      </c>
      <c r="AL25" s="321">
        <f>'Copy Data &amp; calc S-N Ratio QC-B'!P20</f>
      </c>
      <c r="AM25" s="321">
        <f>'Copy Data &amp; calc S-N Ratio QC-B'!Q20</f>
      </c>
      <c r="AN25" s="321">
        <f>'Copy Data &amp; calc S-N Ratio QC-B'!R20</f>
      </c>
      <c r="AO25" s="321">
        <f>'Copy Data &amp; calc S-N Ratio QC-B'!S20</f>
      </c>
      <c r="AP25" s="322">
        <f>'Copy Data &amp; calc S-N Ratio QC-B'!T20</f>
      </c>
    </row>
    <row r="26" spans="18:42" ht="15.75" customHeight="1">
      <c r="R26" s="170">
        <v>17</v>
      </c>
      <c r="S26" s="89" t="str">
        <f>'Control-NoIsE Factors &amp; Levels'!$E$4</f>
        <v>empty</v>
      </c>
      <c r="T26" s="89" t="str">
        <f>'Control-NoIsE Factors &amp; Levels'!$F$5</f>
        <v>T3</v>
      </c>
      <c r="U26" s="89" t="str">
        <f>'Control-NoIsE Factors &amp; Levels'!$E$6</f>
        <v>P2</v>
      </c>
      <c r="V26" s="89" t="str">
        <f>'Control-NoIsE Factors &amp; Levels'!$D$7</f>
        <v>N1</v>
      </c>
      <c r="W26" s="89" t="str">
        <f>'Control-NoIsE Factors &amp; Levels'!$F$8</f>
        <v>S3</v>
      </c>
      <c r="X26" s="89" t="str">
        <f>'Control-NoIsE Factors &amp; Levels'!$D$9</f>
        <v>I1</v>
      </c>
      <c r="Y26" s="89" t="str">
        <f>'Control-NoIsE Factors &amp; Levels'!$E$10</f>
        <v>-</v>
      </c>
      <c r="Z26" s="89" t="str">
        <f>'Control-NoIsE Factors &amp; Levels'!$F$11</f>
        <v>C3</v>
      </c>
      <c r="AA26" s="323">
        <f>'Copy Data &amp; calc S-N Ratio QC-B'!E21</f>
        <v>1200</v>
      </c>
      <c r="AB26" s="321">
        <f>'Copy Data &amp; calc S-N Ratio QC-B'!F21</f>
        <v>3500</v>
      </c>
      <c r="AC26" s="321">
        <f>'Copy Data &amp; calc S-N Ratio QC-B'!G21</f>
        <v>3500</v>
      </c>
      <c r="AD26" s="321">
        <f>'Copy Data &amp; calc S-N Ratio QC-B'!H21</f>
        <v>1000</v>
      </c>
      <c r="AE26" s="321">
        <f>'Copy Data &amp; calc S-N Ratio QC-B'!I21</f>
        <v>3</v>
      </c>
      <c r="AF26" s="321">
        <f>'Copy Data &amp; calc S-N Ratio QC-B'!J21</f>
        <v>1</v>
      </c>
      <c r="AG26" s="321">
        <f>'Copy Data &amp; calc S-N Ratio QC-B'!K21</f>
        <v>9999</v>
      </c>
      <c r="AH26" s="321">
        <f>'Copy Data &amp; calc S-N Ratio QC-B'!L21</f>
        <v>600</v>
      </c>
      <c r="AI26" s="321">
        <f>'Copy Data &amp; calc S-N Ratio QC-B'!M21</f>
        <v>8</v>
      </c>
      <c r="AJ26" s="321">
        <f>'Copy Data &amp; calc S-N Ratio QC-B'!N21</f>
      </c>
      <c r="AK26" s="321">
        <f>'Copy Data &amp; calc S-N Ratio QC-B'!O21</f>
      </c>
      <c r="AL26" s="321">
        <f>'Copy Data &amp; calc S-N Ratio QC-B'!P21</f>
      </c>
      <c r="AM26" s="321">
        <f>'Copy Data &amp; calc S-N Ratio QC-B'!Q21</f>
      </c>
      <c r="AN26" s="321">
        <f>'Copy Data &amp; calc S-N Ratio QC-B'!R21</f>
      </c>
      <c r="AO26" s="321">
        <f>'Copy Data &amp; calc S-N Ratio QC-B'!S21</f>
      </c>
      <c r="AP26" s="322">
        <f>'Copy Data &amp; calc S-N Ratio QC-B'!T21</f>
      </c>
    </row>
    <row r="27" spans="18:42" ht="15.75" customHeight="1" thickBot="1">
      <c r="R27" s="172">
        <v>18</v>
      </c>
      <c r="S27" s="173" t="str">
        <f>'Control-NoIsE Factors &amp; Levels'!$E$4</f>
        <v>empty</v>
      </c>
      <c r="T27" s="174" t="str">
        <f>'Control-NoIsE Factors &amp; Levels'!$F$5</f>
        <v>T3</v>
      </c>
      <c r="U27" s="174" t="str">
        <f>'Control-NoIsE Factors &amp; Levels'!$F$6</f>
        <v>P3</v>
      </c>
      <c r="V27" s="174" t="str">
        <f>'Control-NoIsE Factors &amp; Levels'!$E$7</f>
        <v>N2</v>
      </c>
      <c r="W27" s="174" t="str">
        <f>'Control-NoIsE Factors &amp; Levels'!$D$8</f>
        <v>S1</v>
      </c>
      <c r="X27" s="174" t="str">
        <f>'Control-NoIsE Factors &amp; Levels'!$E$9</f>
        <v>I2</v>
      </c>
      <c r="Y27" s="174" t="str">
        <f>'Control-NoIsE Factors &amp; Levels'!$F$10</f>
        <v>-</v>
      </c>
      <c r="Z27" s="174" t="str">
        <f>'Control-NoIsE Factors &amp; Levels'!$D$11</f>
        <v>C1</v>
      </c>
      <c r="AA27" s="324">
        <f>'Copy Data &amp; calc S-N Ratio QC-B'!E22</f>
        <v>8000</v>
      </c>
      <c r="AB27" s="325">
        <f>'Copy Data &amp; calc S-N Ratio QC-B'!F22</f>
        <v>2500</v>
      </c>
      <c r="AC27" s="325">
        <f>'Copy Data &amp; calc S-N Ratio QC-B'!G22</f>
        <v>3500</v>
      </c>
      <c r="AD27" s="325">
        <f>'Copy Data &amp; calc S-N Ratio QC-B'!H22</f>
        <v>5000</v>
      </c>
      <c r="AE27" s="325">
        <f>'Copy Data &amp; calc S-N Ratio QC-B'!I22</f>
        <v>1000</v>
      </c>
      <c r="AF27" s="325">
        <f>'Copy Data &amp; calc S-N Ratio QC-B'!J22</f>
        <v>1000</v>
      </c>
      <c r="AG27" s="325">
        <f>'Copy Data &amp; calc S-N Ratio QC-B'!K22</f>
        <v>5000</v>
      </c>
      <c r="AH27" s="325">
        <f>'Copy Data &amp; calc S-N Ratio QC-B'!L22</f>
        <v>2000</v>
      </c>
      <c r="AI27" s="325">
        <f>'Copy Data &amp; calc S-N Ratio QC-B'!M22</f>
        <v>2000</v>
      </c>
      <c r="AJ27" s="325">
        <f>'Copy Data &amp; calc S-N Ratio QC-B'!N22</f>
      </c>
      <c r="AK27" s="325">
        <f>'Copy Data &amp; calc S-N Ratio QC-B'!O22</f>
      </c>
      <c r="AL27" s="325">
        <f>'Copy Data &amp; calc S-N Ratio QC-B'!P22</f>
      </c>
      <c r="AM27" s="325">
        <f>'Copy Data &amp; calc S-N Ratio QC-B'!Q22</f>
      </c>
      <c r="AN27" s="325">
        <f>'Copy Data &amp; calc S-N Ratio QC-B'!R22</f>
      </c>
      <c r="AO27" s="325">
        <f>'Copy Data &amp; calc S-N Ratio QC-B'!S22</f>
      </c>
      <c r="AP27" s="326">
        <f>'Copy Data &amp; calc S-N Ratio QC-B'!T22</f>
      </c>
    </row>
    <row r="28" spans="21:26" ht="23.25" customHeight="1">
      <c r="U28" s="204"/>
      <c r="V28" s="204"/>
      <c r="W28" s="204"/>
      <c r="X28" s="204"/>
      <c r="Y28" s="204"/>
      <c r="Z28" s="204"/>
    </row>
    <row r="29" spans="19:28" ht="24.75" customHeight="1">
      <c r="S29" s="223" t="s">
        <v>147</v>
      </c>
      <c r="T29" s="8">
        <v>9</v>
      </c>
      <c r="V29" s="223" t="s">
        <v>147</v>
      </c>
      <c r="W29" s="8">
        <v>6</v>
      </c>
      <c r="Y29" s="3"/>
      <c r="Z29" s="223" t="s">
        <v>162</v>
      </c>
      <c r="AA29" s="8">
        <v>18</v>
      </c>
      <c r="AB29" s="8"/>
    </row>
    <row r="30" spans="21:26" ht="12.75">
      <c r="U30"/>
      <c r="V30" s="218"/>
      <c r="W30"/>
      <c r="X30"/>
      <c r="Y30"/>
      <c r="Z30"/>
    </row>
    <row r="49" ht="12" customHeight="1"/>
    <row r="50" spans="15:36" ht="39.75" customHeight="1">
      <c r="O50" s="2"/>
      <c r="P50" s="2"/>
      <c r="Q50" s="255"/>
      <c r="R50" s="2" t="str">
        <f>'Control-NoIsE Factors &amp; Levels'!$O$46</f>
        <v>L9</v>
      </c>
      <c r="S50" s="298" t="s">
        <v>198</v>
      </c>
      <c r="Y50" s="2" t="str">
        <f>R50</f>
        <v>L9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5:36" ht="12" customHeight="1">
      <c r="O51" s="2"/>
      <c r="P51" s="2"/>
      <c r="Q51" s="255"/>
      <c r="R51" s="299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5:36" s="105" customFormat="1" ht="12.75" customHeight="1">
      <c r="O52" s="106"/>
      <c r="P52" s="106"/>
      <c r="Q52" s="335"/>
      <c r="R52" s="33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</row>
    <row r="53" spans="18:45" ht="20.25">
      <c r="R53"/>
      <c r="S53"/>
      <c r="T53"/>
      <c r="U53"/>
      <c r="Y53" s="337" t="s">
        <v>214</v>
      </c>
      <c r="Z53" s="270" t="s">
        <v>200</v>
      </c>
      <c r="AA53" s="270">
        <v>1</v>
      </c>
      <c r="AB53" s="270">
        <v>2</v>
      </c>
      <c r="AC53" s="270">
        <v>3</v>
      </c>
      <c r="AD53" s="270">
        <v>4</v>
      </c>
      <c r="AE53" s="270">
        <v>5</v>
      </c>
      <c r="AF53" s="270">
        <v>6</v>
      </c>
      <c r="AG53" s="270">
        <v>7</v>
      </c>
      <c r="AH53" s="270">
        <v>8</v>
      </c>
      <c r="AI53" s="270">
        <v>9</v>
      </c>
      <c r="AJ53" s="270">
        <v>10</v>
      </c>
      <c r="AK53" s="270">
        <v>11</v>
      </c>
      <c r="AL53" s="270">
        <v>12</v>
      </c>
      <c r="AM53" s="270">
        <v>13</v>
      </c>
      <c r="AN53" s="270">
        <v>14</v>
      </c>
      <c r="AO53" s="270">
        <v>15</v>
      </c>
      <c r="AP53" s="270">
        <v>16</v>
      </c>
      <c r="AQ53" s="11"/>
      <c r="AR53" s="11"/>
      <c r="AS53" s="11"/>
    </row>
    <row r="54" spans="18:45" ht="12.75">
      <c r="R54"/>
      <c r="S54"/>
      <c r="T54"/>
      <c r="U54"/>
      <c r="Y54"/>
      <c r="Z54" s="270" t="s">
        <v>1</v>
      </c>
      <c r="AA54" s="270">
        <v>1</v>
      </c>
      <c r="AB54" s="270">
        <v>2</v>
      </c>
      <c r="AC54" s="270"/>
      <c r="AD54" s="270"/>
      <c r="AE54" s="270"/>
      <c r="AF54" s="270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11"/>
      <c r="AR54" s="5"/>
      <c r="AS54" s="11"/>
    </row>
    <row r="55" spans="18:45" ht="12.75">
      <c r="R55"/>
      <c r="S55"/>
      <c r="T55"/>
      <c r="U55"/>
      <c r="Y55"/>
      <c r="Z55" s="270" t="s">
        <v>2</v>
      </c>
      <c r="AA55" s="270"/>
      <c r="AB55" s="270"/>
      <c r="AC55" s="270"/>
      <c r="AD55" s="270"/>
      <c r="AE55" s="270"/>
      <c r="AF55" s="270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11"/>
      <c r="AR55" s="5"/>
      <c r="AS55" s="11"/>
    </row>
    <row r="56" spans="18:45" ht="12.75">
      <c r="R56"/>
      <c r="S56"/>
      <c r="T56"/>
      <c r="U56"/>
      <c r="Y56"/>
      <c r="Z56" s="270" t="s">
        <v>3</v>
      </c>
      <c r="AA56" s="270"/>
      <c r="AB56" s="270"/>
      <c r="AC56" s="270"/>
      <c r="AD56" s="270"/>
      <c r="AE56" s="270"/>
      <c r="AF56" s="270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11"/>
      <c r="AR56" s="5"/>
      <c r="AS56" s="11"/>
    </row>
    <row r="57" spans="18:45" ht="12.75">
      <c r="R57"/>
      <c r="S57"/>
      <c r="T57"/>
      <c r="U57"/>
      <c r="Y57"/>
      <c r="Z57" s="270" t="s">
        <v>4</v>
      </c>
      <c r="AA57" s="270"/>
      <c r="AB57" s="270"/>
      <c r="AC57" s="270"/>
      <c r="AD57" s="270"/>
      <c r="AE57" s="270"/>
      <c r="AF57" s="270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11"/>
      <c r="AR57" s="5"/>
      <c r="AS57" s="11"/>
    </row>
    <row r="58" spans="18:44" ht="12.75">
      <c r="R58"/>
      <c r="S58"/>
      <c r="T58"/>
      <c r="U5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R58" s="5"/>
    </row>
    <row r="59" spans="18:45" ht="20.25">
      <c r="R59"/>
      <c r="S59"/>
      <c r="T59"/>
      <c r="U59"/>
      <c r="Y59" s="337" t="s">
        <v>215</v>
      </c>
      <c r="Z59" s="270" t="s">
        <v>200</v>
      </c>
      <c r="AA59" s="270">
        <v>1</v>
      </c>
      <c r="AB59" s="270">
        <v>2</v>
      </c>
      <c r="AC59" s="270">
        <v>3</v>
      </c>
      <c r="AD59" s="270">
        <v>4</v>
      </c>
      <c r="AE59" s="270">
        <v>5</v>
      </c>
      <c r="AF59" s="270">
        <v>6</v>
      </c>
      <c r="AG59" s="270">
        <v>7</v>
      </c>
      <c r="AH59" s="270">
        <v>8</v>
      </c>
      <c r="AI59" s="270">
        <v>9</v>
      </c>
      <c r="AJ59" s="270">
        <v>10</v>
      </c>
      <c r="AK59" s="270">
        <v>11</v>
      </c>
      <c r="AL59" s="270">
        <v>12</v>
      </c>
      <c r="AM59" s="270">
        <v>13</v>
      </c>
      <c r="AN59" s="270">
        <v>14</v>
      </c>
      <c r="AO59" s="270">
        <v>15</v>
      </c>
      <c r="AP59" s="270">
        <v>16</v>
      </c>
      <c r="AQ59" s="11"/>
      <c r="AR59" s="11"/>
      <c r="AS59" s="11"/>
    </row>
    <row r="60" spans="18:45" ht="12.75">
      <c r="R60"/>
      <c r="S60"/>
      <c r="T60"/>
      <c r="U60"/>
      <c r="Y60"/>
      <c r="Z60" s="270" t="s">
        <v>1</v>
      </c>
      <c r="AA60" s="270">
        <v>1</v>
      </c>
      <c r="AB60" s="270">
        <v>2</v>
      </c>
      <c r="AC60" s="270">
        <v>3</v>
      </c>
      <c r="AD60" s="270"/>
      <c r="AE60" s="270"/>
      <c r="AF60" s="270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11"/>
      <c r="AR60" s="5"/>
      <c r="AS60" s="11"/>
    </row>
    <row r="61" spans="18:45" ht="12.75">
      <c r="R61"/>
      <c r="S61"/>
      <c r="T61"/>
      <c r="U61"/>
      <c r="Y61"/>
      <c r="Z61" s="270" t="s">
        <v>2</v>
      </c>
      <c r="AA61" s="270"/>
      <c r="AB61" s="270"/>
      <c r="AC61" s="270"/>
      <c r="AD61" s="270"/>
      <c r="AE61" s="270"/>
      <c r="AF61" s="270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11"/>
      <c r="AR61" s="5"/>
      <c r="AS61" s="11"/>
    </row>
    <row r="62" spans="18:45" ht="12.75">
      <c r="R62"/>
      <c r="S62"/>
      <c r="T62"/>
      <c r="U62"/>
      <c r="Y62"/>
      <c r="Z62" s="270" t="s">
        <v>3</v>
      </c>
      <c r="AA62" s="270"/>
      <c r="AB62" s="270"/>
      <c r="AC62" s="270"/>
      <c r="AD62" s="270"/>
      <c r="AE62" s="270"/>
      <c r="AF62" s="270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11"/>
      <c r="AR62" s="5"/>
      <c r="AS62" s="11"/>
    </row>
    <row r="63" spans="18:45" ht="12.75">
      <c r="R63"/>
      <c r="S63"/>
      <c r="T63"/>
      <c r="U63"/>
      <c r="Y63"/>
      <c r="Z63" s="270" t="s">
        <v>4</v>
      </c>
      <c r="AA63" s="270"/>
      <c r="AB63" s="270"/>
      <c r="AC63" s="270"/>
      <c r="AD63" s="270"/>
      <c r="AE63" s="270"/>
      <c r="AF63" s="270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11"/>
      <c r="AR63" s="5"/>
      <c r="AS63" s="11"/>
    </row>
    <row r="64" spans="15:36" s="105" customFormat="1" ht="12.75" customHeight="1">
      <c r="O64" s="106"/>
      <c r="P64" s="106"/>
      <c r="Q64" s="335"/>
      <c r="R64" s="33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</row>
    <row r="65" spans="15:42" s="105" customFormat="1" ht="12" customHeight="1"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 t="s">
        <v>199</v>
      </c>
      <c r="Z65" s="106" t="s">
        <v>200</v>
      </c>
      <c r="AA65" s="106">
        <v>1</v>
      </c>
      <c r="AB65" s="106">
        <v>2</v>
      </c>
      <c r="AC65" s="106">
        <v>3</v>
      </c>
      <c r="AD65" s="106">
        <v>4</v>
      </c>
      <c r="AE65" s="106">
        <v>5</v>
      </c>
      <c r="AF65" s="106">
        <v>6</v>
      </c>
      <c r="AG65" s="106">
        <v>7</v>
      </c>
      <c r="AH65" s="106">
        <v>8</v>
      </c>
      <c r="AI65" s="106">
        <v>9</v>
      </c>
      <c r="AJ65" s="106">
        <v>10</v>
      </c>
      <c r="AK65" s="105">
        <v>11</v>
      </c>
      <c r="AL65" s="105">
        <v>12</v>
      </c>
      <c r="AM65" s="105">
        <v>13</v>
      </c>
      <c r="AN65" s="105">
        <v>14</v>
      </c>
      <c r="AO65" s="105">
        <v>15</v>
      </c>
      <c r="AP65" s="105">
        <v>16</v>
      </c>
    </row>
    <row r="66" spans="15:36" s="105" customFormat="1" ht="12" customHeight="1"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 t="s">
        <v>1</v>
      </c>
      <c r="AA66" s="106">
        <v>1</v>
      </c>
      <c r="AB66" s="106">
        <v>1</v>
      </c>
      <c r="AC66" s="106">
        <v>2</v>
      </c>
      <c r="AD66" s="106">
        <v>2</v>
      </c>
      <c r="AE66" s="106"/>
      <c r="AF66" s="106"/>
      <c r="AG66" s="106"/>
      <c r="AH66" s="106"/>
      <c r="AI66" s="106"/>
      <c r="AJ66" s="106"/>
    </row>
    <row r="67" spans="15:36" s="105" customFormat="1" ht="12" customHeight="1"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 t="s">
        <v>2</v>
      </c>
      <c r="AA67" s="106">
        <v>1</v>
      </c>
      <c r="AB67" s="106">
        <v>2</v>
      </c>
      <c r="AC67" s="106">
        <v>1</v>
      </c>
      <c r="AD67" s="106">
        <v>2</v>
      </c>
      <c r="AE67" s="106"/>
      <c r="AF67" s="106"/>
      <c r="AG67" s="106"/>
      <c r="AH67" s="106"/>
      <c r="AI67" s="106"/>
      <c r="AJ67" s="106"/>
    </row>
    <row r="68" spans="15:36" s="105" customFormat="1" ht="12" customHeight="1"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 t="s">
        <v>3</v>
      </c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</row>
    <row r="69" spans="15:36" s="105" customFormat="1" ht="12" customHeight="1"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 t="s">
        <v>4</v>
      </c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</row>
    <row r="70" spans="15:36" s="105" customFormat="1" ht="12" customHeight="1"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</row>
    <row r="71" spans="15:42" s="105" customFormat="1" ht="12" customHeight="1"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 t="s">
        <v>201</v>
      </c>
      <c r="Z71" s="106" t="s">
        <v>200</v>
      </c>
      <c r="AA71" s="106">
        <v>1</v>
      </c>
      <c r="AB71" s="106">
        <v>2</v>
      </c>
      <c r="AC71" s="106">
        <v>3</v>
      </c>
      <c r="AD71" s="106">
        <v>4</v>
      </c>
      <c r="AE71" s="106">
        <v>5</v>
      </c>
      <c r="AF71" s="106">
        <v>6</v>
      </c>
      <c r="AG71" s="106">
        <v>7</v>
      </c>
      <c r="AH71" s="106">
        <v>8</v>
      </c>
      <c r="AI71" s="106">
        <v>9</v>
      </c>
      <c r="AJ71" s="106">
        <v>10</v>
      </c>
      <c r="AK71" s="105">
        <v>11</v>
      </c>
      <c r="AL71" s="105">
        <v>12</v>
      </c>
      <c r="AM71" s="105">
        <v>13</v>
      </c>
      <c r="AN71" s="105">
        <v>14</v>
      </c>
      <c r="AO71" s="105">
        <v>15</v>
      </c>
      <c r="AP71" s="105">
        <v>16</v>
      </c>
    </row>
    <row r="72" spans="15:36" s="105" customFormat="1" ht="12" customHeight="1"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 t="s">
        <v>1</v>
      </c>
      <c r="AA72" s="106">
        <v>1</v>
      </c>
      <c r="AB72" s="106">
        <v>1</v>
      </c>
      <c r="AC72" s="106">
        <v>1</v>
      </c>
      <c r="AD72" s="106">
        <v>2</v>
      </c>
      <c r="AE72" s="106">
        <v>2</v>
      </c>
      <c r="AF72" s="106">
        <v>2</v>
      </c>
      <c r="AG72" s="106"/>
      <c r="AH72" s="106"/>
      <c r="AI72" s="106"/>
      <c r="AJ72" s="106"/>
    </row>
    <row r="73" spans="15:36" s="105" customFormat="1" ht="12" customHeight="1"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 t="s">
        <v>2</v>
      </c>
      <c r="AA73" s="106">
        <v>1</v>
      </c>
      <c r="AB73" s="106">
        <v>2</v>
      </c>
      <c r="AC73" s="106">
        <v>3</v>
      </c>
      <c r="AD73" s="106">
        <v>1</v>
      </c>
      <c r="AE73" s="106">
        <v>2</v>
      </c>
      <c r="AF73" s="106">
        <v>3</v>
      </c>
      <c r="AG73" s="106"/>
      <c r="AH73" s="106"/>
      <c r="AI73" s="106"/>
      <c r="AJ73" s="106"/>
    </row>
    <row r="74" spans="15:36" s="105" customFormat="1" ht="12" customHeight="1"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 t="s">
        <v>3</v>
      </c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</row>
    <row r="75" spans="15:36" s="105" customFormat="1" ht="12" customHeight="1"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 t="s">
        <v>4</v>
      </c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</row>
    <row r="76" spans="15:36" s="105" customFormat="1" ht="12" customHeight="1"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</row>
    <row r="77" spans="15:42" s="105" customFormat="1" ht="12" customHeight="1"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 t="s">
        <v>202</v>
      </c>
      <c r="Z77" s="106" t="s">
        <v>200</v>
      </c>
      <c r="AA77" s="106">
        <v>1</v>
      </c>
      <c r="AB77" s="106">
        <v>2</v>
      </c>
      <c r="AC77" s="106">
        <v>3</v>
      </c>
      <c r="AD77" s="106">
        <v>4</v>
      </c>
      <c r="AE77" s="106">
        <v>5</v>
      </c>
      <c r="AF77" s="106">
        <v>6</v>
      </c>
      <c r="AG77" s="106">
        <v>7</v>
      </c>
      <c r="AH77" s="106">
        <v>8</v>
      </c>
      <c r="AI77" s="106">
        <v>9</v>
      </c>
      <c r="AJ77" s="106">
        <v>10</v>
      </c>
      <c r="AK77" s="105">
        <v>11</v>
      </c>
      <c r="AL77" s="105">
        <v>12</v>
      </c>
      <c r="AM77" s="105">
        <v>13</v>
      </c>
      <c r="AN77" s="105">
        <v>14</v>
      </c>
      <c r="AO77" s="105">
        <v>15</v>
      </c>
      <c r="AP77" s="105">
        <v>16</v>
      </c>
    </row>
    <row r="78" spans="15:36" s="105" customFormat="1" ht="12" customHeight="1"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 t="s">
        <v>1</v>
      </c>
      <c r="AA78" s="106">
        <v>1</v>
      </c>
      <c r="AB78" s="106">
        <v>1</v>
      </c>
      <c r="AC78" s="106">
        <v>1</v>
      </c>
      <c r="AD78" s="106">
        <v>1</v>
      </c>
      <c r="AE78" s="106">
        <v>2</v>
      </c>
      <c r="AF78" s="106">
        <v>2</v>
      </c>
      <c r="AG78" s="106">
        <v>2</v>
      </c>
      <c r="AH78" s="106">
        <v>2</v>
      </c>
      <c r="AI78" s="106"/>
      <c r="AJ78" s="106"/>
    </row>
    <row r="79" spans="15:36" s="105" customFormat="1" ht="12" customHeight="1"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 t="s">
        <v>2</v>
      </c>
      <c r="AA79" s="106">
        <v>1</v>
      </c>
      <c r="AB79" s="106">
        <v>1</v>
      </c>
      <c r="AC79" s="106">
        <v>2</v>
      </c>
      <c r="AD79" s="106">
        <v>2</v>
      </c>
      <c r="AE79" s="106">
        <v>1</v>
      </c>
      <c r="AF79" s="106">
        <v>1</v>
      </c>
      <c r="AG79" s="106">
        <v>2</v>
      </c>
      <c r="AH79" s="106">
        <v>2</v>
      </c>
      <c r="AI79" s="106"/>
      <c r="AJ79" s="106"/>
    </row>
    <row r="80" spans="15:36" s="105" customFormat="1" ht="12" customHeight="1"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 t="s">
        <v>3</v>
      </c>
      <c r="AA80" s="106">
        <v>1</v>
      </c>
      <c r="AB80" s="106">
        <v>2</v>
      </c>
      <c r="AC80" s="106">
        <v>1</v>
      </c>
      <c r="AD80" s="106">
        <v>2</v>
      </c>
      <c r="AE80" s="106">
        <v>1</v>
      </c>
      <c r="AF80" s="106">
        <v>2</v>
      </c>
      <c r="AG80" s="106">
        <v>1</v>
      </c>
      <c r="AH80" s="106">
        <v>2</v>
      </c>
      <c r="AI80" s="106"/>
      <c r="AJ80" s="106"/>
    </row>
    <row r="81" spans="15:36" s="105" customFormat="1" ht="12" customHeight="1"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 t="s">
        <v>4</v>
      </c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</row>
    <row r="82" spans="15:36" s="105" customFormat="1" ht="12" customHeight="1"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</row>
    <row r="83" spans="15:42" s="105" customFormat="1" ht="12.75"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 t="s">
        <v>203</v>
      </c>
      <c r="Z83" s="106" t="s">
        <v>200</v>
      </c>
      <c r="AA83" s="106">
        <v>1</v>
      </c>
      <c r="AB83" s="106">
        <v>2</v>
      </c>
      <c r="AC83" s="106">
        <v>3</v>
      </c>
      <c r="AD83" s="106">
        <v>4</v>
      </c>
      <c r="AE83" s="106">
        <v>5</v>
      </c>
      <c r="AF83" s="106">
        <v>6</v>
      </c>
      <c r="AG83" s="106">
        <v>7</v>
      </c>
      <c r="AH83" s="106">
        <v>8</v>
      </c>
      <c r="AI83" s="106">
        <v>9</v>
      </c>
      <c r="AJ83" s="106">
        <v>10</v>
      </c>
      <c r="AK83" s="105">
        <v>11</v>
      </c>
      <c r="AL83" s="105">
        <v>12</v>
      </c>
      <c r="AM83" s="105">
        <v>13</v>
      </c>
      <c r="AN83" s="105">
        <v>14</v>
      </c>
      <c r="AO83" s="105">
        <v>15</v>
      </c>
      <c r="AP83" s="105">
        <v>16</v>
      </c>
    </row>
    <row r="84" spans="15:38" s="105" customFormat="1" ht="12.75"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 t="s">
        <v>1</v>
      </c>
      <c r="AA84" s="106">
        <v>1</v>
      </c>
      <c r="AB84" s="106">
        <v>1</v>
      </c>
      <c r="AC84" s="106">
        <v>1</v>
      </c>
      <c r="AD84" s="106">
        <v>1</v>
      </c>
      <c r="AE84" s="106">
        <v>1</v>
      </c>
      <c r="AF84" s="106">
        <v>1</v>
      </c>
      <c r="AG84" s="106">
        <v>2</v>
      </c>
      <c r="AH84" s="106">
        <v>2</v>
      </c>
      <c r="AI84" s="106">
        <v>2</v>
      </c>
      <c r="AJ84" s="106">
        <v>2</v>
      </c>
      <c r="AK84" s="105">
        <v>2</v>
      </c>
      <c r="AL84" s="105">
        <v>2</v>
      </c>
    </row>
    <row r="85" spans="15:38" s="105" customFormat="1" ht="12.75"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 t="s">
        <v>2</v>
      </c>
      <c r="AA85" s="106">
        <v>1</v>
      </c>
      <c r="AB85" s="106">
        <v>1</v>
      </c>
      <c r="AC85" s="106">
        <v>1</v>
      </c>
      <c r="AD85" s="106">
        <v>2</v>
      </c>
      <c r="AE85" s="106">
        <v>2</v>
      </c>
      <c r="AF85" s="106">
        <v>2</v>
      </c>
      <c r="AG85" s="106">
        <v>1</v>
      </c>
      <c r="AH85" s="106">
        <v>1</v>
      </c>
      <c r="AI85" s="106">
        <v>1</v>
      </c>
      <c r="AJ85" s="106">
        <v>2</v>
      </c>
      <c r="AK85" s="105">
        <v>2</v>
      </c>
      <c r="AL85" s="105">
        <v>2</v>
      </c>
    </row>
    <row r="86" spans="15:38" s="105" customFormat="1" ht="12.75"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 t="s">
        <v>3</v>
      </c>
      <c r="AA86" s="106">
        <v>1</v>
      </c>
      <c r="AB86" s="106">
        <v>2</v>
      </c>
      <c r="AC86" s="106">
        <v>3</v>
      </c>
      <c r="AD86" s="106">
        <v>1</v>
      </c>
      <c r="AE86" s="106">
        <v>2</v>
      </c>
      <c r="AF86" s="106">
        <v>3</v>
      </c>
      <c r="AG86" s="106">
        <v>1</v>
      </c>
      <c r="AH86" s="106">
        <v>2</v>
      </c>
      <c r="AI86" s="106">
        <v>3</v>
      </c>
      <c r="AJ86" s="106">
        <v>1</v>
      </c>
      <c r="AK86" s="105">
        <v>2</v>
      </c>
      <c r="AL86" s="105">
        <v>3</v>
      </c>
    </row>
    <row r="87" spans="15:36" s="105" customFormat="1" ht="12.75"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 t="s">
        <v>4</v>
      </c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</row>
    <row r="88" spans="15:36" s="105" customFormat="1" ht="12.75"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</row>
    <row r="89" spans="15:42" s="105" customFormat="1" ht="12.75"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 t="s">
        <v>204</v>
      </c>
      <c r="Z89" s="106" t="s">
        <v>200</v>
      </c>
      <c r="AA89" s="106">
        <v>1</v>
      </c>
      <c r="AB89" s="106">
        <v>2</v>
      </c>
      <c r="AC89" s="106">
        <v>3</v>
      </c>
      <c r="AD89" s="106">
        <v>4</v>
      </c>
      <c r="AE89" s="106">
        <v>5</v>
      </c>
      <c r="AF89" s="106">
        <v>6</v>
      </c>
      <c r="AG89" s="106">
        <v>7</v>
      </c>
      <c r="AH89" s="106">
        <v>8</v>
      </c>
      <c r="AI89" s="106">
        <v>9</v>
      </c>
      <c r="AJ89" s="106">
        <v>10</v>
      </c>
      <c r="AK89" s="105">
        <v>11</v>
      </c>
      <c r="AL89" s="105">
        <v>12</v>
      </c>
      <c r="AM89" s="105">
        <v>13</v>
      </c>
      <c r="AN89" s="105">
        <v>14</v>
      </c>
      <c r="AO89" s="105">
        <v>15</v>
      </c>
      <c r="AP89" s="105">
        <v>16</v>
      </c>
    </row>
    <row r="90" spans="15:42" s="105" customFormat="1" ht="12.75"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 t="s">
        <v>1</v>
      </c>
      <c r="AA90" s="106">
        <v>1</v>
      </c>
      <c r="AB90" s="106">
        <v>1</v>
      </c>
      <c r="AC90" s="106">
        <v>1</v>
      </c>
      <c r="AD90" s="106">
        <v>1</v>
      </c>
      <c r="AE90" s="106">
        <v>1</v>
      </c>
      <c r="AF90" s="106">
        <v>1</v>
      </c>
      <c r="AG90" s="106">
        <v>1</v>
      </c>
      <c r="AH90" s="106">
        <v>1</v>
      </c>
      <c r="AI90" s="106">
        <v>2</v>
      </c>
      <c r="AJ90" s="106">
        <v>2</v>
      </c>
      <c r="AK90" s="105">
        <v>2</v>
      </c>
      <c r="AL90" s="105">
        <v>2</v>
      </c>
      <c r="AM90" s="105">
        <v>2</v>
      </c>
      <c r="AN90" s="105">
        <v>2</v>
      </c>
      <c r="AO90" s="105">
        <v>2</v>
      </c>
      <c r="AP90" s="105">
        <v>2</v>
      </c>
    </row>
    <row r="91" spans="15:42" s="105" customFormat="1" ht="12.75"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 t="s">
        <v>2</v>
      </c>
      <c r="AA91" s="106">
        <v>1</v>
      </c>
      <c r="AB91" s="106">
        <v>1</v>
      </c>
      <c r="AC91" s="106">
        <v>1</v>
      </c>
      <c r="AD91" s="106">
        <v>1</v>
      </c>
      <c r="AE91" s="106">
        <v>2</v>
      </c>
      <c r="AF91" s="106">
        <v>2</v>
      </c>
      <c r="AG91" s="106">
        <v>2</v>
      </c>
      <c r="AH91" s="106">
        <v>2</v>
      </c>
      <c r="AI91" s="106">
        <v>1</v>
      </c>
      <c r="AJ91" s="106">
        <v>1</v>
      </c>
      <c r="AK91" s="105">
        <v>1</v>
      </c>
      <c r="AL91" s="105">
        <v>1</v>
      </c>
      <c r="AM91" s="105">
        <v>2</v>
      </c>
      <c r="AN91" s="105">
        <v>2</v>
      </c>
      <c r="AO91" s="105">
        <v>2</v>
      </c>
      <c r="AP91" s="105">
        <v>2</v>
      </c>
    </row>
    <row r="92" spans="15:42" s="105" customFormat="1" ht="12.75"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 t="s">
        <v>3</v>
      </c>
      <c r="AA92" s="106">
        <v>1</v>
      </c>
      <c r="AB92" s="106">
        <v>1</v>
      </c>
      <c r="AC92" s="106">
        <v>2</v>
      </c>
      <c r="AD92" s="106">
        <v>2</v>
      </c>
      <c r="AE92" s="106">
        <v>1</v>
      </c>
      <c r="AF92" s="106">
        <v>1</v>
      </c>
      <c r="AG92" s="106">
        <v>2</v>
      </c>
      <c r="AH92" s="106">
        <v>2</v>
      </c>
      <c r="AI92" s="106">
        <v>1</v>
      </c>
      <c r="AJ92" s="106">
        <v>1</v>
      </c>
      <c r="AK92" s="105">
        <v>2</v>
      </c>
      <c r="AL92" s="105">
        <v>2</v>
      </c>
      <c r="AM92" s="105">
        <v>1</v>
      </c>
      <c r="AN92" s="105">
        <v>1</v>
      </c>
      <c r="AO92" s="105">
        <v>2</v>
      </c>
      <c r="AP92" s="105">
        <v>2</v>
      </c>
    </row>
    <row r="93" spans="15:42" s="105" customFormat="1" ht="12.75"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 t="s">
        <v>4</v>
      </c>
      <c r="AA93" s="106">
        <v>1</v>
      </c>
      <c r="AB93" s="106">
        <v>2</v>
      </c>
      <c r="AC93" s="106">
        <v>1</v>
      </c>
      <c r="AD93" s="106">
        <v>2</v>
      </c>
      <c r="AE93" s="106">
        <v>1</v>
      </c>
      <c r="AF93" s="106">
        <v>2</v>
      </c>
      <c r="AG93" s="106">
        <v>1</v>
      </c>
      <c r="AH93" s="106">
        <v>2</v>
      </c>
      <c r="AI93" s="106">
        <v>1</v>
      </c>
      <c r="AJ93" s="106">
        <v>2</v>
      </c>
      <c r="AK93" s="105">
        <v>1</v>
      </c>
      <c r="AL93" s="105">
        <v>2</v>
      </c>
      <c r="AM93" s="105">
        <v>1</v>
      </c>
      <c r="AN93" s="105">
        <v>2</v>
      </c>
      <c r="AO93" s="105">
        <v>1</v>
      </c>
      <c r="AP93" s="105">
        <v>2</v>
      </c>
    </row>
    <row r="94" spans="15:36" s="105" customFormat="1" ht="12.75"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</row>
    <row r="95" spans="15:42" s="105" customFormat="1" ht="12.75"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 t="s">
        <v>205</v>
      </c>
      <c r="Z95" s="106" t="s">
        <v>200</v>
      </c>
      <c r="AA95" s="106">
        <v>1</v>
      </c>
      <c r="AB95" s="106">
        <v>2</v>
      </c>
      <c r="AC95" s="106">
        <v>3</v>
      </c>
      <c r="AD95" s="106">
        <v>4</v>
      </c>
      <c r="AE95" s="106">
        <v>5</v>
      </c>
      <c r="AF95" s="106">
        <v>6</v>
      </c>
      <c r="AG95" s="106">
        <v>7</v>
      </c>
      <c r="AH95" s="106">
        <v>8</v>
      </c>
      <c r="AI95" s="106">
        <v>9</v>
      </c>
      <c r="AJ95" s="106">
        <v>10</v>
      </c>
      <c r="AK95" s="105">
        <v>11</v>
      </c>
      <c r="AL95" s="105">
        <v>12</v>
      </c>
      <c r="AM95" s="105">
        <v>13</v>
      </c>
      <c r="AN95" s="105">
        <v>14</v>
      </c>
      <c r="AO95" s="105">
        <v>15</v>
      </c>
      <c r="AP95" s="105">
        <v>16</v>
      </c>
    </row>
    <row r="96" spans="15:36" s="105" customFormat="1" ht="12.75"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 t="s">
        <v>1</v>
      </c>
      <c r="AA96" s="106">
        <v>1</v>
      </c>
      <c r="AB96" s="106">
        <v>1</v>
      </c>
      <c r="AC96" s="106">
        <v>2</v>
      </c>
      <c r="AD96" s="106">
        <v>2</v>
      </c>
      <c r="AE96" s="106"/>
      <c r="AF96" s="106"/>
      <c r="AG96" s="106"/>
      <c r="AH96" s="106"/>
      <c r="AI96" s="106"/>
      <c r="AJ96" s="106"/>
    </row>
    <row r="97" spans="15:36" s="105" customFormat="1" ht="12.75"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 t="s">
        <v>2</v>
      </c>
      <c r="AA97" s="106">
        <v>1</v>
      </c>
      <c r="AB97" s="106">
        <v>2</v>
      </c>
      <c r="AC97" s="106">
        <v>1</v>
      </c>
      <c r="AD97" s="106">
        <v>2</v>
      </c>
      <c r="AE97" s="106"/>
      <c r="AF97" s="106"/>
      <c r="AG97" s="106"/>
      <c r="AH97" s="106"/>
      <c r="AI97" s="106"/>
      <c r="AJ97" s="106"/>
    </row>
    <row r="98" spans="15:36" s="105" customFormat="1" ht="12.75"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 t="s">
        <v>3</v>
      </c>
      <c r="AA98" s="106">
        <v>1</v>
      </c>
      <c r="AB98" s="106">
        <v>2</v>
      </c>
      <c r="AC98" s="106">
        <v>2</v>
      </c>
      <c r="AD98" s="106">
        <v>1</v>
      </c>
      <c r="AE98" s="106"/>
      <c r="AF98" s="106"/>
      <c r="AG98" s="106"/>
      <c r="AH98" s="106"/>
      <c r="AI98" s="106"/>
      <c r="AJ98" s="106"/>
    </row>
    <row r="99" spans="15:36" s="105" customFormat="1" ht="12.75"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 t="s">
        <v>4</v>
      </c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</row>
    <row r="100" spans="15:36" s="105" customFormat="1" ht="12.75"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</row>
    <row r="101" spans="15:42" s="105" customFormat="1" ht="12.75"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 t="s">
        <v>206</v>
      </c>
      <c r="Z101" s="106" t="s">
        <v>200</v>
      </c>
      <c r="AA101" s="106">
        <v>1</v>
      </c>
      <c r="AB101" s="106">
        <v>2</v>
      </c>
      <c r="AC101" s="106">
        <v>3</v>
      </c>
      <c r="AD101" s="106">
        <v>4</v>
      </c>
      <c r="AE101" s="106">
        <v>5</v>
      </c>
      <c r="AF101" s="106">
        <v>6</v>
      </c>
      <c r="AG101" s="106">
        <v>7</v>
      </c>
      <c r="AH101" s="106">
        <v>8</v>
      </c>
      <c r="AI101" s="106">
        <v>9</v>
      </c>
      <c r="AJ101" s="106">
        <v>10</v>
      </c>
      <c r="AK101" s="105">
        <v>11</v>
      </c>
      <c r="AL101" s="105">
        <v>12</v>
      </c>
      <c r="AM101" s="105">
        <v>13</v>
      </c>
      <c r="AN101" s="105">
        <v>14</v>
      </c>
      <c r="AO101" s="105">
        <v>15</v>
      </c>
      <c r="AP101" s="105">
        <v>16</v>
      </c>
    </row>
    <row r="102" spans="15:36" s="105" customFormat="1" ht="12.75"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 t="s">
        <v>1</v>
      </c>
      <c r="AA102" s="106">
        <v>1</v>
      </c>
      <c r="AB102" s="106">
        <v>1</v>
      </c>
      <c r="AC102" s="106">
        <v>1</v>
      </c>
      <c r="AD102" s="106">
        <v>1</v>
      </c>
      <c r="AE102" s="106">
        <v>2</v>
      </c>
      <c r="AF102" s="106">
        <v>2</v>
      </c>
      <c r="AG102" s="106">
        <v>2</v>
      </c>
      <c r="AH102" s="106">
        <v>2</v>
      </c>
      <c r="AI102" s="106"/>
      <c r="AJ102" s="106"/>
    </row>
    <row r="103" spans="15:36" s="105" customFormat="1" ht="12.75"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 t="s">
        <v>2</v>
      </c>
      <c r="AA103" s="106">
        <v>1</v>
      </c>
      <c r="AB103" s="106">
        <v>1</v>
      </c>
      <c r="AC103" s="106">
        <v>2</v>
      </c>
      <c r="AD103" s="106">
        <v>2</v>
      </c>
      <c r="AE103" s="106">
        <v>1</v>
      </c>
      <c r="AF103" s="106">
        <v>1</v>
      </c>
      <c r="AG103" s="106">
        <v>2</v>
      </c>
      <c r="AH103" s="106">
        <v>2</v>
      </c>
      <c r="AI103" s="106"/>
      <c r="AJ103" s="106"/>
    </row>
    <row r="104" spans="15:36" s="105" customFormat="1" ht="12.75"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 t="s">
        <v>3</v>
      </c>
      <c r="AA104" s="106">
        <v>1</v>
      </c>
      <c r="AB104" s="106">
        <v>2</v>
      </c>
      <c r="AC104" s="106">
        <v>1</v>
      </c>
      <c r="AD104" s="106">
        <v>2</v>
      </c>
      <c r="AE104" s="106">
        <v>1</v>
      </c>
      <c r="AF104" s="106">
        <v>2</v>
      </c>
      <c r="AG104" s="106">
        <v>1</v>
      </c>
      <c r="AH104" s="106">
        <v>2</v>
      </c>
      <c r="AI104" s="106"/>
      <c r="AJ104" s="106"/>
    </row>
    <row r="105" spans="15:36" s="105" customFormat="1" ht="12.75"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 t="s">
        <v>4</v>
      </c>
      <c r="AA105" s="106">
        <v>1</v>
      </c>
      <c r="AB105" s="106">
        <v>2</v>
      </c>
      <c r="AC105" s="106">
        <v>1</v>
      </c>
      <c r="AD105" s="106">
        <v>2</v>
      </c>
      <c r="AE105" s="106">
        <v>2</v>
      </c>
      <c r="AF105" s="106">
        <v>1</v>
      </c>
      <c r="AG105" s="106">
        <v>2</v>
      </c>
      <c r="AH105" s="106">
        <v>1</v>
      </c>
      <c r="AI105" s="106"/>
      <c r="AJ105" s="106"/>
    </row>
    <row r="106" spans="15:36" s="105" customFormat="1" ht="12.75"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</row>
    <row r="107" spans="15:42" s="105" customFormat="1" ht="12.75"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 t="s">
        <v>207</v>
      </c>
      <c r="Z107" s="106" t="s">
        <v>200</v>
      </c>
      <c r="AA107" s="106">
        <v>1</v>
      </c>
      <c r="AB107" s="106">
        <v>2</v>
      </c>
      <c r="AC107" s="106">
        <v>3</v>
      </c>
      <c r="AD107" s="106">
        <v>4</v>
      </c>
      <c r="AE107" s="106">
        <v>5</v>
      </c>
      <c r="AF107" s="106">
        <v>6</v>
      </c>
      <c r="AG107" s="106">
        <v>7</v>
      </c>
      <c r="AH107" s="106">
        <v>8</v>
      </c>
      <c r="AI107" s="106">
        <v>9</v>
      </c>
      <c r="AJ107" s="106">
        <v>10</v>
      </c>
      <c r="AK107" s="105">
        <v>11</v>
      </c>
      <c r="AL107" s="105">
        <v>12</v>
      </c>
      <c r="AM107" s="105">
        <v>13</v>
      </c>
      <c r="AN107" s="105">
        <v>14</v>
      </c>
      <c r="AO107" s="105">
        <v>15</v>
      </c>
      <c r="AP107" s="105">
        <v>16</v>
      </c>
    </row>
    <row r="108" spans="15:36" s="105" customFormat="1" ht="12.75"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 t="s">
        <v>1</v>
      </c>
      <c r="AA108" s="106">
        <v>1</v>
      </c>
      <c r="AB108" s="106">
        <v>1</v>
      </c>
      <c r="AC108" s="106">
        <v>1</v>
      </c>
      <c r="AD108" s="106">
        <v>2</v>
      </c>
      <c r="AE108" s="106">
        <v>2</v>
      </c>
      <c r="AF108" s="106">
        <v>2</v>
      </c>
      <c r="AG108" s="106">
        <v>3</v>
      </c>
      <c r="AH108" s="106">
        <v>3</v>
      </c>
      <c r="AI108" s="106">
        <v>3</v>
      </c>
      <c r="AJ108" s="106"/>
    </row>
    <row r="109" spans="22:45" s="5" customFormat="1" ht="12.75">
      <c r="V109" s="11"/>
      <c r="W109" s="11"/>
      <c r="X109" s="11"/>
      <c r="Z109" s="11" t="s">
        <v>2</v>
      </c>
      <c r="AA109" s="11">
        <v>1</v>
      </c>
      <c r="AB109" s="11">
        <v>2</v>
      </c>
      <c r="AC109" s="11">
        <v>3</v>
      </c>
      <c r="AD109" s="11">
        <v>1</v>
      </c>
      <c r="AE109" s="11">
        <v>2</v>
      </c>
      <c r="AF109" s="11">
        <v>3</v>
      </c>
      <c r="AG109" s="11">
        <v>1</v>
      </c>
      <c r="AH109" s="11">
        <v>2</v>
      </c>
      <c r="AI109" s="11">
        <v>3</v>
      </c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5:36" s="105" customFormat="1" ht="12.75"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 t="s">
        <v>3</v>
      </c>
      <c r="AA110" s="106">
        <v>1</v>
      </c>
      <c r="AB110" s="106">
        <v>2</v>
      </c>
      <c r="AC110" s="106">
        <v>3</v>
      </c>
      <c r="AD110" s="106">
        <v>2</v>
      </c>
      <c r="AE110" s="106">
        <v>3</v>
      </c>
      <c r="AF110" s="106">
        <v>1</v>
      </c>
      <c r="AG110" s="106">
        <v>3</v>
      </c>
      <c r="AH110" s="106">
        <v>1</v>
      </c>
      <c r="AI110" s="106">
        <v>2</v>
      </c>
      <c r="AJ110" s="106"/>
    </row>
    <row r="111" spans="15:36" s="105" customFormat="1" ht="12.75"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 t="s">
        <v>4</v>
      </c>
      <c r="AA111" s="106">
        <v>1</v>
      </c>
      <c r="AB111" s="106">
        <v>2</v>
      </c>
      <c r="AC111" s="106">
        <v>3</v>
      </c>
      <c r="AD111" s="106">
        <v>3</v>
      </c>
      <c r="AE111" s="106">
        <v>1</v>
      </c>
      <c r="AF111" s="106">
        <v>2</v>
      </c>
      <c r="AG111" s="106">
        <v>2</v>
      </c>
      <c r="AH111" s="106">
        <v>3</v>
      </c>
      <c r="AI111" s="106">
        <v>1</v>
      </c>
      <c r="AJ111" s="106"/>
    </row>
  </sheetData>
  <sheetProtection password="F750" sheet="1" objects="1" scenarios="1"/>
  <mergeCells count="19">
    <mergeCell ref="AP8:AP9"/>
    <mergeCell ref="AK8:AK9"/>
    <mergeCell ref="AL8:AL9"/>
    <mergeCell ref="AM8:AM9"/>
    <mergeCell ref="AN8:AN9"/>
    <mergeCell ref="AH8:AH9"/>
    <mergeCell ref="AI8:AI9"/>
    <mergeCell ref="AJ8:AJ9"/>
    <mergeCell ref="AO8:AO9"/>
    <mergeCell ref="S8:Z8"/>
    <mergeCell ref="R8:R9"/>
    <mergeCell ref="AA2:AP2"/>
    <mergeCell ref="AA8:AA9"/>
    <mergeCell ref="AB8:AB9"/>
    <mergeCell ref="AC8:AC9"/>
    <mergeCell ref="AD8:AD9"/>
    <mergeCell ref="AE8:AE9"/>
    <mergeCell ref="AF8:AF9"/>
    <mergeCell ref="AG8:AG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AG41"/>
  <sheetViews>
    <sheetView zoomScale="75" zoomScaleNormal="75" workbookViewId="0" topLeftCell="A1">
      <selection activeCell="C22" sqref="C22"/>
    </sheetView>
  </sheetViews>
  <sheetFormatPr defaultColWidth="9.140625" defaultRowHeight="12.75"/>
  <cols>
    <col min="1" max="1" width="28.57421875" style="2" customWidth="1"/>
    <col min="2" max="2" width="6.8515625" style="0" customWidth="1"/>
    <col min="3" max="3" width="10.7109375" style="0" customWidth="1"/>
    <col min="4" max="4" width="6.8515625" style="0" customWidth="1"/>
    <col min="5" max="12" width="7.421875" style="0" customWidth="1"/>
    <col min="13" max="13" width="8.421875" style="0" customWidth="1"/>
    <col min="14" max="20" width="7.421875" style="0" customWidth="1"/>
    <col min="21" max="38" width="5.7109375" style="0" customWidth="1"/>
  </cols>
  <sheetData>
    <row r="1" spans="1:20" ht="4.5" customHeight="1">
      <c r="A1" s="89"/>
      <c r="B1" s="88"/>
      <c r="C1" s="88"/>
      <c r="D1" s="88"/>
      <c r="E1" s="88"/>
      <c r="F1" s="88"/>
      <c r="G1" s="88"/>
      <c r="H1" s="88"/>
      <c r="I1" s="88"/>
      <c r="J1" s="46"/>
      <c r="K1" s="46"/>
      <c r="L1" s="46"/>
      <c r="M1" s="46"/>
      <c r="N1" s="46"/>
      <c r="O1" s="46"/>
      <c r="P1" s="46"/>
      <c r="Q1" s="46"/>
      <c r="R1" s="46"/>
      <c r="S1" s="46"/>
      <c r="T1" s="105"/>
    </row>
    <row r="2" spans="1:33" ht="47.25" customHeight="1">
      <c r="A2" s="164" t="s">
        <v>21</v>
      </c>
      <c r="B2" s="413" t="s">
        <v>31</v>
      </c>
      <c r="C2" s="413"/>
      <c r="D2" s="413"/>
      <c r="E2" s="165">
        <v>1</v>
      </c>
      <c r="F2" s="166">
        <v>2</v>
      </c>
      <c r="G2" s="166">
        <v>3</v>
      </c>
      <c r="H2" s="166">
        <v>4</v>
      </c>
      <c r="I2" s="166">
        <v>5</v>
      </c>
      <c r="J2" s="166">
        <v>6</v>
      </c>
      <c r="K2" s="166">
        <v>7</v>
      </c>
      <c r="L2" s="166">
        <v>8</v>
      </c>
      <c r="M2" s="166">
        <v>9</v>
      </c>
      <c r="N2" s="166">
        <v>10</v>
      </c>
      <c r="O2" s="166">
        <v>11</v>
      </c>
      <c r="P2" s="166">
        <v>12</v>
      </c>
      <c r="Q2" s="166">
        <v>13</v>
      </c>
      <c r="R2" s="166">
        <v>14</v>
      </c>
      <c r="S2" s="166">
        <v>15</v>
      </c>
      <c r="T2" s="167">
        <v>16</v>
      </c>
      <c r="U2" s="25"/>
      <c r="V2" s="25"/>
      <c r="W2" s="25"/>
      <c r="X2" s="25"/>
      <c r="Y2" s="25"/>
      <c r="Z2" s="25"/>
      <c r="AA2" s="25"/>
      <c r="AB2" s="25"/>
      <c r="AC2" s="25"/>
      <c r="AD2" s="26"/>
      <c r="AE2" s="27"/>
      <c r="AF2" s="27"/>
      <c r="AG2" s="24"/>
    </row>
    <row r="3" spans="1:32" ht="14.25" customHeight="1">
      <c r="A3" s="49">
        <v>1</v>
      </c>
      <c r="B3" s="49"/>
      <c r="C3" s="49"/>
      <c r="D3" s="88"/>
      <c r="E3" s="256">
        <v>1</v>
      </c>
      <c r="F3" s="257">
        <v>0</v>
      </c>
      <c r="G3" s="257">
        <v>1</v>
      </c>
      <c r="H3" s="257">
        <v>2</v>
      </c>
      <c r="I3" s="257">
        <v>0</v>
      </c>
      <c r="J3" s="257">
        <v>0</v>
      </c>
      <c r="K3" s="257">
        <v>1</v>
      </c>
      <c r="L3" s="257">
        <v>1</v>
      </c>
      <c r="M3" s="257">
        <v>0</v>
      </c>
      <c r="N3" s="258"/>
      <c r="O3" s="258"/>
      <c r="P3" s="258"/>
      <c r="Q3" s="258"/>
      <c r="R3" s="258"/>
      <c r="S3" s="258"/>
      <c r="T3" s="259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4.25" customHeight="1">
      <c r="A4" s="49">
        <v>2</v>
      </c>
      <c r="B4" s="49"/>
      <c r="C4" s="49"/>
      <c r="D4" s="88"/>
      <c r="E4" s="256">
        <v>1</v>
      </c>
      <c r="F4" s="257">
        <v>2</v>
      </c>
      <c r="G4" s="257">
        <v>8</v>
      </c>
      <c r="H4" s="257">
        <v>180</v>
      </c>
      <c r="I4" s="257">
        <v>5</v>
      </c>
      <c r="J4" s="257">
        <v>0</v>
      </c>
      <c r="K4" s="257">
        <v>126</v>
      </c>
      <c r="L4" s="257">
        <v>3</v>
      </c>
      <c r="M4" s="257">
        <v>1</v>
      </c>
      <c r="N4" s="258"/>
      <c r="O4" s="258"/>
      <c r="P4" s="258"/>
      <c r="Q4" s="258"/>
      <c r="R4" s="258"/>
      <c r="S4" s="258"/>
      <c r="T4" s="259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4.25" customHeight="1">
      <c r="A5" s="49">
        <v>3</v>
      </c>
      <c r="B5" s="49"/>
      <c r="C5" s="49"/>
      <c r="D5" s="88"/>
      <c r="E5" s="256">
        <v>3</v>
      </c>
      <c r="F5" s="257">
        <v>35</v>
      </c>
      <c r="G5" s="257">
        <v>106</v>
      </c>
      <c r="H5" s="257">
        <v>360</v>
      </c>
      <c r="I5" s="257">
        <v>38</v>
      </c>
      <c r="J5" s="257">
        <v>135</v>
      </c>
      <c r="K5" s="257">
        <v>315</v>
      </c>
      <c r="L5" s="257">
        <v>50</v>
      </c>
      <c r="M5" s="257">
        <v>180</v>
      </c>
      <c r="N5" s="258"/>
      <c r="O5" s="258"/>
      <c r="P5" s="258"/>
      <c r="Q5" s="258"/>
      <c r="R5" s="258"/>
      <c r="S5" s="258"/>
      <c r="T5" s="259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4.25" customHeight="1">
      <c r="A6" s="49">
        <v>4</v>
      </c>
      <c r="B6" s="49"/>
      <c r="C6" s="49"/>
      <c r="D6" s="88"/>
      <c r="E6" s="256">
        <v>6</v>
      </c>
      <c r="F6" s="257">
        <v>15</v>
      </c>
      <c r="G6" s="257">
        <v>6</v>
      </c>
      <c r="H6" s="257">
        <v>17</v>
      </c>
      <c r="I6" s="257">
        <v>20</v>
      </c>
      <c r="J6" s="257">
        <v>16</v>
      </c>
      <c r="K6" s="257">
        <v>15</v>
      </c>
      <c r="L6" s="257">
        <v>40</v>
      </c>
      <c r="M6" s="257">
        <v>18</v>
      </c>
      <c r="N6" s="258"/>
      <c r="O6" s="258"/>
      <c r="P6" s="258"/>
      <c r="Q6" s="258"/>
      <c r="R6" s="258"/>
      <c r="S6" s="258"/>
      <c r="T6" s="259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4.25" customHeight="1">
      <c r="A7" s="49">
        <v>5</v>
      </c>
      <c r="B7" s="49"/>
      <c r="C7" s="49"/>
      <c r="D7" s="88"/>
      <c r="E7" s="256">
        <v>1720</v>
      </c>
      <c r="F7" s="257">
        <v>1980</v>
      </c>
      <c r="G7" s="257">
        <v>2000</v>
      </c>
      <c r="H7" s="257">
        <v>487</v>
      </c>
      <c r="I7" s="257">
        <v>810</v>
      </c>
      <c r="J7" s="257">
        <v>400</v>
      </c>
      <c r="K7" s="257">
        <v>2020</v>
      </c>
      <c r="L7" s="257">
        <v>360</v>
      </c>
      <c r="M7" s="257">
        <v>12</v>
      </c>
      <c r="N7" s="258"/>
      <c r="O7" s="258"/>
      <c r="P7" s="258"/>
      <c r="Q7" s="258"/>
      <c r="R7" s="258"/>
      <c r="S7" s="258"/>
      <c r="T7" s="259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4.25" customHeight="1">
      <c r="A8" s="49">
        <v>6</v>
      </c>
      <c r="B8" s="49"/>
      <c r="C8" s="49"/>
      <c r="D8" s="88"/>
      <c r="E8" s="256">
        <v>135</v>
      </c>
      <c r="F8" s="257">
        <v>360</v>
      </c>
      <c r="G8" s="257">
        <v>1620</v>
      </c>
      <c r="H8" s="257">
        <v>2430</v>
      </c>
      <c r="I8" s="257">
        <v>207</v>
      </c>
      <c r="J8" s="257">
        <v>2</v>
      </c>
      <c r="K8" s="257">
        <v>2500</v>
      </c>
      <c r="L8" s="257">
        <v>270</v>
      </c>
      <c r="M8" s="257">
        <v>35</v>
      </c>
      <c r="N8" s="258"/>
      <c r="O8" s="258"/>
      <c r="P8" s="258"/>
      <c r="Q8" s="258"/>
      <c r="R8" s="258"/>
      <c r="S8" s="258"/>
      <c r="T8" s="259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4.25" customHeight="1">
      <c r="A9" s="49">
        <v>7</v>
      </c>
      <c r="B9" s="49"/>
      <c r="C9" s="49"/>
      <c r="D9" s="88"/>
      <c r="E9" s="256">
        <v>360</v>
      </c>
      <c r="F9" s="257">
        <v>810</v>
      </c>
      <c r="G9" s="257">
        <v>1215</v>
      </c>
      <c r="H9" s="257">
        <v>1620</v>
      </c>
      <c r="I9" s="257">
        <v>117</v>
      </c>
      <c r="J9" s="257">
        <v>30</v>
      </c>
      <c r="K9" s="257">
        <v>1800</v>
      </c>
      <c r="L9" s="257">
        <v>720</v>
      </c>
      <c r="M9" s="257">
        <v>315</v>
      </c>
      <c r="N9" s="258"/>
      <c r="O9" s="258"/>
      <c r="P9" s="258"/>
      <c r="Q9" s="258"/>
      <c r="R9" s="258"/>
      <c r="S9" s="258"/>
      <c r="T9" s="259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4.25" customHeight="1">
      <c r="A10" s="49">
        <v>8</v>
      </c>
      <c r="B10" s="49"/>
      <c r="C10" s="49"/>
      <c r="D10" s="88"/>
      <c r="E10" s="256">
        <v>270</v>
      </c>
      <c r="F10" s="257">
        <v>2730</v>
      </c>
      <c r="G10" s="257">
        <v>5000</v>
      </c>
      <c r="H10" s="257">
        <v>360</v>
      </c>
      <c r="I10" s="257">
        <v>1</v>
      </c>
      <c r="J10" s="257">
        <v>2</v>
      </c>
      <c r="K10" s="257">
        <v>9999</v>
      </c>
      <c r="L10" s="257">
        <v>225</v>
      </c>
      <c r="M10" s="257">
        <v>1</v>
      </c>
      <c r="N10" s="258"/>
      <c r="O10" s="258"/>
      <c r="P10" s="258"/>
      <c r="Q10" s="258"/>
      <c r="R10" s="258"/>
      <c r="S10" s="258"/>
      <c r="T10" s="259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4.25" customHeight="1">
      <c r="A11" s="49">
        <v>9</v>
      </c>
      <c r="B11" s="49"/>
      <c r="C11" s="49"/>
      <c r="D11" s="88"/>
      <c r="E11" s="256">
        <v>5000</v>
      </c>
      <c r="F11" s="257">
        <v>1000</v>
      </c>
      <c r="G11" s="257">
        <v>1000</v>
      </c>
      <c r="H11" s="257">
        <v>3000</v>
      </c>
      <c r="I11" s="257">
        <v>1000</v>
      </c>
      <c r="J11" s="257">
        <v>1000</v>
      </c>
      <c r="K11" s="257">
        <v>3000</v>
      </c>
      <c r="L11" s="257">
        <v>2800</v>
      </c>
      <c r="M11" s="257">
        <v>2000</v>
      </c>
      <c r="N11" s="258"/>
      <c r="O11" s="258"/>
      <c r="P11" s="258"/>
      <c r="Q11" s="258"/>
      <c r="R11" s="258"/>
      <c r="S11" s="258"/>
      <c r="T11" s="259"/>
      <c r="U11" s="12"/>
      <c r="V11" s="12"/>
      <c r="W11" s="12"/>
      <c r="X11" s="12"/>
      <c r="Y11" s="12"/>
      <c r="Z11" s="12"/>
      <c r="AA11" s="13"/>
      <c r="AB11" s="12"/>
      <c r="AC11" s="12"/>
      <c r="AD11" s="13"/>
      <c r="AE11" s="13"/>
      <c r="AF11" s="12"/>
    </row>
    <row r="12" spans="1:32" ht="14.25" customHeight="1">
      <c r="A12" s="49">
        <v>10</v>
      </c>
      <c r="B12" s="49"/>
      <c r="C12" s="49"/>
      <c r="D12" s="88"/>
      <c r="E12" s="256">
        <v>3</v>
      </c>
      <c r="F12" s="257">
        <v>0</v>
      </c>
      <c r="G12" s="257">
        <v>0</v>
      </c>
      <c r="H12" s="257">
        <v>3</v>
      </c>
      <c r="I12" s="257">
        <v>0</v>
      </c>
      <c r="J12" s="257">
        <v>0</v>
      </c>
      <c r="K12" s="257">
        <v>1</v>
      </c>
      <c r="L12" s="257">
        <v>0</v>
      </c>
      <c r="M12" s="257">
        <v>1</v>
      </c>
      <c r="N12" s="258"/>
      <c r="O12" s="258"/>
      <c r="P12" s="258"/>
      <c r="Q12" s="258"/>
      <c r="R12" s="258"/>
      <c r="S12" s="258"/>
      <c r="T12" s="259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13"/>
      <c r="AF12" s="12"/>
    </row>
    <row r="13" spans="1:32" ht="14.25" customHeight="1">
      <c r="A13" s="49">
        <v>11</v>
      </c>
      <c r="B13" s="49"/>
      <c r="C13" s="49"/>
      <c r="D13" s="88"/>
      <c r="E13" s="256">
        <v>1</v>
      </c>
      <c r="F13" s="257">
        <v>0</v>
      </c>
      <c r="G13" s="257">
        <v>1</v>
      </c>
      <c r="H13" s="257">
        <v>5</v>
      </c>
      <c r="I13" s="257">
        <v>0</v>
      </c>
      <c r="J13" s="257">
        <v>0</v>
      </c>
      <c r="K13" s="257">
        <v>1</v>
      </c>
      <c r="L13" s="257">
        <v>0</v>
      </c>
      <c r="M13" s="257">
        <v>1</v>
      </c>
      <c r="N13" s="258"/>
      <c r="O13" s="258"/>
      <c r="P13" s="258"/>
      <c r="Q13" s="258"/>
      <c r="R13" s="258"/>
      <c r="S13" s="258"/>
      <c r="T13" s="259"/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3"/>
      <c r="AF13" s="12"/>
    </row>
    <row r="14" spans="1:32" ht="14.25" customHeight="1">
      <c r="A14" s="49">
        <v>12</v>
      </c>
      <c r="B14" s="49"/>
      <c r="C14" s="49"/>
      <c r="D14" s="88"/>
      <c r="E14" s="256">
        <v>3</v>
      </c>
      <c r="F14" s="257">
        <v>1620</v>
      </c>
      <c r="G14" s="257">
        <v>90</v>
      </c>
      <c r="H14" s="257">
        <v>216</v>
      </c>
      <c r="I14" s="257">
        <v>5</v>
      </c>
      <c r="J14" s="257">
        <v>4</v>
      </c>
      <c r="K14" s="257">
        <v>270</v>
      </c>
      <c r="L14" s="257">
        <v>8</v>
      </c>
      <c r="M14" s="257">
        <v>3</v>
      </c>
      <c r="N14" s="258"/>
      <c r="O14" s="258"/>
      <c r="P14" s="258"/>
      <c r="Q14" s="258"/>
      <c r="R14" s="258"/>
      <c r="S14" s="258"/>
      <c r="T14" s="259"/>
      <c r="U14" s="12"/>
      <c r="V14" s="12"/>
      <c r="W14" s="12"/>
      <c r="X14" s="12"/>
      <c r="Y14" s="12"/>
      <c r="Z14" s="12"/>
      <c r="AA14" s="12"/>
      <c r="AB14" s="12"/>
      <c r="AC14" s="12"/>
      <c r="AD14" s="13"/>
      <c r="AE14" s="13"/>
      <c r="AF14" s="12"/>
    </row>
    <row r="15" spans="1:32" ht="14.25" customHeight="1">
      <c r="A15" s="49">
        <v>13</v>
      </c>
      <c r="B15" s="49"/>
      <c r="C15" s="49"/>
      <c r="D15" s="88"/>
      <c r="E15" s="256">
        <v>1</v>
      </c>
      <c r="F15" s="257">
        <v>25</v>
      </c>
      <c r="G15" s="257">
        <v>270</v>
      </c>
      <c r="H15" s="257">
        <v>810</v>
      </c>
      <c r="I15" s="257">
        <v>16</v>
      </c>
      <c r="J15" s="257">
        <v>1</v>
      </c>
      <c r="K15" s="257">
        <v>225</v>
      </c>
      <c r="L15" s="257">
        <v>3</v>
      </c>
      <c r="M15" s="257">
        <v>0</v>
      </c>
      <c r="N15" s="258"/>
      <c r="O15" s="258"/>
      <c r="P15" s="258"/>
      <c r="Q15" s="258"/>
      <c r="R15" s="258"/>
      <c r="S15" s="258"/>
      <c r="T15" s="259"/>
      <c r="U15" s="12"/>
      <c r="V15" s="12"/>
      <c r="W15" s="12"/>
      <c r="X15" s="12"/>
      <c r="Y15" s="12"/>
      <c r="Z15" s="12"/>
      <c r="AA15" s="12"/>
      <c r="AB15" s="12"/>
      <c r="AC15" s="12"/>
      <c r="AD15" s="13"/>
      <c r="AE15" s="13"/>
      <c r="AF15" s="12"/>
    </row>
    <row r="16" spans="1:32" ht="14.25" customHeight="1">
      <c r="A16" s="49">
        <v>14</v>
      </c>
      <c r="B16" s="49"/>
      <c r="C16" s="49"/>
      <c r="D16" s="88"/>
      <c r="E16" s="256">
        <v>3</v>
      </c>
      <c r="F16" s="257">
        <v>21</v>
      </c>
      <c r="G16" s="257">
        <v>162</v>
      </c>
      <c r="H16" s="257">
        <v>90</v>
      </c>
      <c r="I16" s="257">
        <v>6</v>
      </c>
      <c r="J16" s="257">
        <v>1</v>
      </c>
      <c r="K16" s="257">
        <v>63</v>
      </c>
      <c r="L16" s="257">
        <v>15</v>
      </c>
      <c r="M16" s="257">
        <v>39</v>
      </c>
      <c r="N16" s="258"/>
      <c r="O16" s="258"/>
      <c r="P16" s="258"/>
      <c r="Q16" s="258"/>
      <c r="R16" s="258"/>
      <c r="S16" s="258"/>
      <c r="T16" s="259"/>
      <c r="U16" s="12"/>
      <c r="V16" s="12"/>
      <c r="W16" s="12"/>
      <c r="X16" s="12"/>
      <c r="Y16" s="12"/>
      <c r="Z16" s="12"/>
      <c r="AA16" s="12"/>
      <c r="AB16" s="12"/>
      <c r="AC16" s="12"/>
      <c r="AD16" s="13"/>
      <c r="AE16" s="13"/>
      <c r="AF16" s="12"/>
    </row>
    <row r="17" spans="1:32" ht="14.25" customHeight="1">
      <c r="A17" s="49">
        <v>15</v>
      </c>
      <c r="B17" s="49"/>
      <c r="C17" s="49"/>
      <c r="D17" s="88"/>
      <c r="E17" s="256">
        <v>450</v>
      </c>
      <c r="F17" s="257">
        <v>1200</v>
      </c>
      <c r="G17" s="257">
        <v>1800</v>
      </c>
      <c r="H17" s="257">
        <v>2530</v>
      </c>
      <c r="I17" s="257">
        <v>2080</v>
      </c>
      <c r="J17" s="257">
        <v>2080</v>
      </c>
      <c r="K17" s="257">
        <v>1890</v>
      </c>
      <c r="L17" s="257">
        <v>180</v>
      </c>
      <c r="M17" s="257">
        <v>25</v>
      </c>
      <c r="N17" s="258"/>
      <c r="O17" s="258"/>
      <c r="P17" s="258"/>
      <c r="Q17" s="258"/>
      <c r="R17" s="258"/>
      <c r="S17" s="258"/>
      <c r="T17" s="259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2"/>
    </row>
    <row r="18" spans="1:32" ht="14.25" customHeight="1">
      <c r="A18" s="49">
        <v>16</v>
      </c>
      <c r="B18" s="49"/>
      <c r="C18" s="49"/>
      <c r="D18" s="88"/>
      <c r="E18" s="256">
        <v>5</v>
      </c>
      <c r="F18" s="257">
        <v>6</v>
      </c>
      <c r="G18" s="257">
        <v>40</v>
      </c>
      <c r="H18" s="257">
        <v>54</v>
      </c>
      <c r="I18" s="257">
        <v>0</v>
      </c>
      <c r="J18" s="257">
        <v>8</v>
      </c>
      <c r="K18" s="257">
        <v>15</v>
      </c>
      <c r="L18" s="257">
        <v>1</v>
      </c>
      <c r="M18" s="257">
        <v>1</v>
      </c>
      <c r="N18" s="258"/>
      <c r="O18" s="258"/>
      <c r="P18" s="258"/>
      <c r="Q18" s="258"/>
      <c r="R18" s="258"/>
      <c r="S18" s="258"/>
      <c r="T18" s="259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2"/>
    </row>
    <row r="19" spans="1:32" ht="14.25" customHeight="1">
      <c r="A19" s="49">
        <v>17</v>
      </c>
      <c r="B19" s="49"/>
      <c r="C19" s="49"/>
      <c r="D19" s="88"/>
      <c r="E19" s="256">
        <v>1200</v>
      </c>
      <c r="F19" s="257">
        <v>3500</v>
      </c>
      <c r="G19" s="257">
        <v>3500</v>
      </c>
      <c r="H19" s="257">
        <v>1000</v>
      </c>
      <c r="I19" s="257">
        <v>3</v>
      </c>
      <c r="J19" s="257">
        <v>1</v>
      </c>
      <c r="K19" s="257">
        <v>9999</v>
      </c>
      <c r="L19" s="257">
        <v>600</v>
      </c>
      <c r="M19" s="257">
        <v>8</v>
      </c>
      <c r="N19" s="258"/>
      <c r="O19" s="258"/>
      <c r="P19" s="258"/>
      <c r="Q19" s="258"/>
      <c r="R19" s="258"/>
      <c r="S19" s="258"/>
      <c r="T19" s="259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2"/>
    </row>
    <row r="20" spans="1:32" ht="14.25" customHeight="1">
      <c r="A20" s="49">
        <v>18</v>
      </c>
      <c r="B20" s="49"/>
      <c r="C20" s="49"/>
      <c r="D20" s="88"/>
      <c r="E20" s="260">
        <v>8000</v>
      </c>
      <c r="F20" s="261">
        <v>2500</v>
      </c>
      <c r="G20" s="261">
        <v>3500</v>
      </c>
      <c r="H20" s="261">
        <v>5000</v>
      </c>
      <c r="I20" s="261">
        <v>1000</v>
      </c>
      <c r="J20" s="261">
        <v>1000</v>
      </c>
      <c r="K20" s="261">
        <v>5000</v>
      </c>
      <c r="L20" s="261">
        <v>2000</v>
      </c>
      <c r="M20" s="261">
        <v>2000</v>
      </c>
      <c r="N20" s="262"/>
      <c r="O20" s="262"/>
      <c r="P20" s="262"/>
      <c r="Q20" s="262"/>
      <c r="R20" s="262"/>
      <c r="S20" s="262"/>
      <c r="T20" s="263"/>
      <c r="U20" s="12"/>
      <c r="V20" s="12"/>
      <c r="W20" s="12"/>
      <c r="X20" s="12"/>
      <c r="Y20" s="12"/>
      <c r="Z20" s="12"/>
      <c r="AA20" s="13"/>
      <c r="AB20" s="12"/>
      <c r="AC20" s="12"/>
      <c r="AD20" s="13"/>
      <c r="AE20" s="13"/>
      <c r="AF20" s="12"/>
    </row>
    <row r="21" spans="1:20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ht="16.5" thickBo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59"/>
      <c r="M22" s="159"/>
      <c r="N22" s="105"/>
      <c r="O22" s="160"/>
      <c r="P22" s="160"/>
      <c r="Q22" s="105"/>
      <c r="R22" s="105"/>
      <c r="S22" s="105"/>
      <c r="T22" s="105"/>
    </row>
    <row r="23" spans="1:20" ht="12.75" customHeight="1">
      <c r="A23" s="105"/>
      <c r="B23" s="105"/>
      <c r="C23" s="105"/>
      <c r="D23" s="161"/>
      <c r="E23" s="432" t="s">
        <v>22</v>
      </c>
      <c r="F23" s="432"/>
      <c r="G23" s="432"/>
      <c r="H23" s="432"/>
      <c r="I23" s="105"/>
      <c r="J23" s="423" t="s">
        <v>23</v>
      </c>
      <c r="K23" s="424"/>
      <c r="L23" s="424"/>
      <c r="M23" s="425"/>
      <c r="N23" s="163"/>
      <c r="O23" s="400" t="s">
        <v>92</v>
      </c>
      <c r="P23" s="400"/>
      <c r="Q23" s="400"/>
      <c r="R23" s="400"/>
      <c r="S23" s="400"/>
      <c r="T23" s="400"/>
    </row>
    <row r="24" spans="1:20" ht="10.5" customHeight="1">
      <c r="A24" s="106"/>
      <c r="B24" s="105"/>
      <c r="C24" s="105"/>
      <c r="D24" s="161"/>
      <c r="E24" s="432"/>
      <c r="F24" s="432"/>
      <c r="G24" s="432"/>
      <c r="H24" s="432"/>
      <c r="I24" s="105"/>
      <c r="J24" s="426"/>
      <c r="K24" s="427"/>
      <c r="L24" s="427"/>
      <c r="M24" s="428"/>
      <c r="N24" s="163"/>
      <c r="O24" s="400"/>
      <c r="P24" s="400"/>
      <c r="Q24" s="400"/>
      <c r="R24" s="400"/>
      <c r="S24" s="400"/>
      <c r="T24" s="400"/>
    </row>
    <row r="25" spans="1:20" ht="10.5" customHeight="1" thickBot="1">
      <c r="A25" s="106"/>
      <c r="B25" s="105"/>
      <c r="C25" s="105"/>
      <c r="D25" s="161"/>
      <c r="E25" s="432"/>
      <c r="F25" s="432"/>
      <c r="G25" s="432"/>
      <c r="H25" s="432"/>
      <c r="I25" s="105"/>
      <c r="J25" s="429"/>
      <c r="K25" s="430"/>
      <c r="L25" s="430"/>
      <c r="M25" s="431"/>
      <c r="N25" s="163"/>
      <c r="O25" s="400"/>
      <c r="P25" s="400"/>
      <c r="Q25" s="400"/>
      <c r="R25" s="400"/>
      <c r="S25" s="400"/>
      <c r="T25" s="400"/>
    </row>
    <row r="26" spans="10:16" ht="19.5" customHeight="1">
      <c r="J26" s="206"/>
      <c r="K26" s="207"/>
      <c r="L26" s="208"/>
      <c r="M26" s="211" t="s">
        <v>148</v>
      </c>
      <c r="N26" s="207"/>
      <c r="O26" s="209"/>
      <c r="P26" s="22"/>
    </row>
    <row r="27" spans="10:16" ht="12.75" customHeight="1">
      <c r="J27" s="401" t="s">
        <v>149</v>
      </c>
      <c r="K27" s="402"/>
      <c r="L27" s="402"/>
      <c r="M27" s="411">
        <v>4</v>
      </c>
      <c r="N27" s="405" t="s">
        <v>150</v>
      </c>
      <c r="O27" s="406"/>
      <c r="P27" s="22"/>
    </row>
    <row r="28" spans="10:16" ht="17.25" customHeight="1" thickBot="1">
      <c r="J28" s="401"/>
      <c r="K28" s="402"/>
      <c r="L28" s="402"/>
      <c r="M28" s="411"/>
      <c r="N28" s="405"/>
      <c r="O28" s="406"/>
      <c r="P28" s="22"/>
    </row>
    <row r="29" spans="5:16" ht="21" customHeight="1">
      <c r="E29" s="414" t="s">
        <v>151</v>
      </c>
      <c r="F29" s="415"/>
      <c r="G29" s="415"/>
      <c r="H29" s="416"/>
      <c r="J29" s="401" t="s">
        <v>152</v>
      </c>
      <c r="K29" s="402"/>
      <c r="L29" s="402"/>
      <c r="M29" s="411">
        <v>4</v>
      </c>
      <c r="N29" s="407" t="s">
        <v>153</v>
      </c>
      <c r="O29" s="408"/>
      <c r="P29" s="22"/>
    </row>
    <row r="30" spans="5:15" ht="13.5" customHeight="1">
      <c r="E30" s="417"/>
      <c r="F30" s="418"/>
      <c r="G30" s="418"/>
      <c r="H30" s="419"/>
      <c r="J30" s="401"/>
      <c r="K30" s="402"/>
      <c r="L30" s="402"/>
      <c r="M30" s="411"/>
      <c r="N30" s="407"/>
      <c r="O30" s="408"/>
    </row>
    <row r="31" spans="5:15" ht="13.5" customHeight="1">
      <c r="E31" s="417"/>
      <c r="F31" s="418"/>
      <c r="G31" s="418"/>
      <c r="H31" s="419"/>
      <c r="J31" s="401" t="s">
        <v>154</v>
      </c>
      <c r="K31" s="402"/>
      <c r="L31" s="402"/>
      <c r="M31" s="411">
        <v>6</v>
      </c>
      <c r="N31" s="405" t="s">
        <v>150</v>
      </c>
      <c r="O31" s="406"/>
    </row>
    <row r="32" spans="5:15" ht="21" customHeight="1" thickBot="1">
      <c r="E32" s="420"/>
      <c r="F32" s="421"/>
      <c r="G32" s="421"/>
      <c r="H32" s="422"/>
      <c r="J32" s="401"/>
      <c r="K32" s="402"/>
      <c r="L32" s="402"/>
      <c r="M32" s="411"/>
      <c r="N32" s="405"/>
      <c r="O32" s="406"/>
    </row>
    <row r="33" spans="10:15" ht="17.25" customHeight="1">
      <c r="J33" s="401" t="s">
        <v>155</v>
      </c>
      <c r="K33" s="402"/>
      <c r="L33" s="402"/>
      <c r="M33" s="411">
        <v>9</v>
      </c>
      <c r="N33" s="407" t="s">
        <v>156</v>
      </c>
      <c r="O33" s="408"/>
    </row>
    <row r="34" spans="10:15" ht="20.25" customHeight="1" thickBot="1">
      <c r="J34" s="403"/>
      <c r="K34" s="404"/>
      <c r="L34" s="404"/>
      <c r="M34" s="412"/>
      <c r="N34" s="409"/>
      <c r="O34" s="410"/>
    </row>
    <row r="39" spans="6:9" ht="18">
      <c r="F39" s="210"/>
      <c r="G39" s="210"/>
      <c r="H39" s="210"/>
      <c r="I39" s="210"/>
    </row>
    <row r="40" spans="5:9" ht="18">
      <c r="E40" s="210"/>
      <c r="F40" s="210"/>
      <c r="G40" s="210"/>
      <c r="H40" s="210"/>
      <c r="I40" s="210"/>
    </row>
    <row r="41" spans="5:9" ht="18">
      <c r="E41" s="210"/>
      <c r="F41" s="210"/>
      <c r="G41" s="210"/>
      <c r="H41" s="210"/>
      <c r="I41" s="210"/>
    </row>
  </sheetData>
  <sheetProtection password="F750" sheet="1" objects="1" scenarios="1"/>
  <mergeCells count="17">
    <mergeCell ref="B2:D2"/>
    <mergeCell ref="M31:M32"/>
    <mergeCell ref="J27:L28"/>
    <mergeCell ref="J29:L30"/>
    <mergeCell ref="E29:H32"/>
    <mergeCell ref="J23:M25"/>
    <mergeCell ref="E23:H25"/>
    <mergeCell ref="O23:T25"/>
    <mergeCell ref="J31:L32"/>
    <mergeCell ref="J33:L34"/>
    <mergeCell ref="N27:O28"/>
    <mergeCell ref="N29:O30"/>
    <mergeCell ref="N31:O32"/>
    <mergeCell ref="N33:O34"/>
    <mergeCell ref="M27:M28"/>
    <mergeCell ref="M29:M30"/>
    <mergeCell ref="M33:M34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AG35"/>
  <sheetViews>
    <sheetView zoomScale="75" zoomScaleNormal="75" workbookViewId="0" topLeftCell="S1">
      <selection activeCell="I19" sqref="I19"/>
    </sheetView>
  </sheetViews>
  <sheetFormatPr defaultColWidth="9.140625" defaultRowHeight="12.75"/>
  <cols>
    <col min="1" max="1" width="28.57421875" style="2" customWidth="1"/>
    <col min="2" max="2" width="8.57421875" style="0" customWidth="1"/>
    <col min="3" max="3" width="10.7109375" style="0" customWidth="1"/>
    <col min="4" max="4" width="6.8515625" style="0" customWidth="1"/>
    <col min="5" max="20" width="9.00390625" style="0" customWidth="1"/>
    <col min="21" max="23" width="14.421875" style="0" hidden="1" customWidth="1"/>
    <col min="24" max="24" width="3.00390625" style="0" customWidth="1"/>
    <col min="25" max="25" width="16.7109375" style="2" customWidth="1"/>
    <col min="26" max="26" width="18.28125" style="2" customWidth="1"/>
    <col min="27" max="27" width="3.7109375" style="0" customWidth="1"/>
    <col min="28" max="28" width="18.140625" style="0" hidden="1" customWidth="1"/>
    <col min="29" max="29" width="16.57421875" style="0" hidden="1" customWidth="1"/>
    <col min="30" max="30" width="3.57421875" style="0" hidden="1" customWidth="1"/>
    <col min="31" max="31" width="16.57421875" style="0" hidden="1" customWidth="1"/>
    <col min="32" max="32" width="17.7109375" style="0" hidden="1" customWidth="1"/>
  </cols>
  <sheetData>
    <row r="1" spans="1:32" ht="12.75">
      <c r="A1" s="89"/>
      <c r="B1" s="88"/>
      <c r="C1" s="88"/>
      <c r="D1" s="88"/>
      <c r="E1" s="88"/>
      <c r="F1" s="88"/>
      <c r="G1" s="88"/>
      <c r="H1" s="88"/>
      <c r="I1" s="88"/>
      <c r="J1" s="46"/>
      <c r="K1" s="46"/>
      <c r="L1" s="46"/>
      <c r="M1" s="46"/>
      <c r="N1" s="46"/>
      <c r="O1" s="46"/>
      <c r="P1" s="46"/>
      <c r="Q1" s="46"/>
      <c r="R1" s="46"/>
      <c r="S1" s="46"/>
      <c r="T1" s="105"/>
      <c r="U1" s="105"/>
      <c r="V1" s="105"/>
      <c r="W1" s="105"/>
      <c r="X1" s="105"/>
      <c r="Y1" s="106"/>
      <c r="Z1" s="106"/>
      <c r="AA1" s="105"/>
      <c r="AB1" s="105"/>
      <c r="AC1" s="105"/>
      <c r="AD1" s="105"/>
      <c r="AE1" s="105"/>
      <c r="AF1" s="105"/>
    </row>
    <row r="2" spans="1:32" ht="12.75" hidden="1">
      <c r="A2" s="89"/>
      <c r="B2" s="433" t="s">
        <v>97</v>
      </c>
      <c r="C2" s="433"/>
      <c r="D2" s="433"/>
      <c r="E2" s="88">
        <f>'Qual char &amp; S-N Ratio &amp;repeatNo'!$G$2</f>
        <v>9</v>
      </c>
      <c r="F2" s="88">
        <f>'Qual char &amp; S-N Ratio &amp;repeatNo'!$G$2</f>
        <v>9</v>
      </c>
      <c r="G2" s="88">
        <f>'Qual char &amp; S-N Ratio &amp;repeatNo'!$G$2</f>
        <v>9</v>
      </c>
      <c r="H2" s="88">
        <f>'Qual char &amp; S-N Ratio &amp;repeatNo'!$G$2</f>
        <v>9</v>
      </c>
      <c r="I2" s="88">
        <f>'Qual char &amp; S-N Ratio &amp;repeatNo'!$G$2</f>
        <v>9</v>
      </c>
      <c r="J2" s="88">
        <f>'Qual char &amp; S-N Ratio &amp;repeatNo'!$G$2</f>
        <v>9</v>
      </c>
      <c r="K2" s="88">
        <f>'Qual char &amp; S-N Ratio &amp;repeatNo'!$G$2</f>
        <v>9</v>
      </c>
      <c r="L2" s="88">
        <f>'Qual char &amp; S-N Ratio &amp;repeatNo'!$G$2</f>
        <v>9</v>
      </c>
      <c r="M2" s="88">
        <f>'Qual char &amp; S-N Ratio &amp;repeatNo'!$G$2</f>
        <v>9</v>
      </c>
      <c r="N2" s="88">
        <f>'Qual char &amp; S-N Ratio &amp;repeatNo'!$G$2</f>
        <v>9</v>
      </c>
      <c r="O2" s="88">
        <f>'Qual char &amp; S-N Ratio &amp;repeatNo'!$G$2</f>
        <v>9</v>
      </c>
      <c r="P2" s="88">
        <f>'Qual char &amp; S-N Ratio &amp;repeatNo'!$G$2</f>
        <v>9</v>
      </c>
      <c r="Q2" s="88">
        <f>'Qual char &amp; S-N Ratio &amp;repeatNo'!$G$2</f>
        <v>9</v>
      </c>
      <c r="R2" s="88">
        <f>'Qual char &amp; S-N Ratio &amp;repeatNo'!$G$2</f>
        <v>9</v>
      </c>
      <c r="S2" s="88">
        <f>'Qual char &amp; S-N Ratio &amp;repeatNo'!$G$2</f>
        <v>9</v>
      </c>
      <c r="T2" s="88">
        <f>'Qual char &amp; S-N Ratio &amp;repeatNo'!$G$2</f>
        <v>9</v>
      </c>
      <c r="U2" s="105"/>
      <c r="V2" s="105"/>
      <c r="W2" s="105"/>
      <c r="X2" s="105"/>
      <c r="Y2" s="106"/>
      <c r="Z2" s="106"/>
      <c r="AA2" s="105"/>
      <c r="AB2" s="105"/>
      <c r="AC2" s="105"/>
      <c r="AD2" s="105"/>
      <c r="AE2" s="105"/>
      <c r="AF2" s="105"/>
    </row>
    <row r="3" spans="1:32" ht="12.75" hidden="1">
      <c r="A3" s="89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105"/>
      <c r="V3" s="105"/>
      <c r="W3" s="105"/>
      <c r="X3" s="105"/>
      <c r="Y3" s="106"/>
      <c r="Z3" s="106"/>
      <c r="AA3" s="105"/>
      <c r="AB3" s="105"/>
      <c r="AC3" s="105"/>
      <c r="AD3" s="105"/>
      <c r="AE3" s="105"/>
      <c r="AF3" s="105"/>
    </row>
    <row r="4" spans="1:33" ht="47.25" customHeight="1">
      <c r="A4" s="144" t="s">
        <v>21</v>
      </c>
      <c r="B4" s="437" t="s">
        <v>31</v>
      </c>
      <c r="C4" s="437"/>
      <c r="D4" s="437"/>
      <c r="E4" s="145">
        <f>'Input measured data'!E2</f>
        <v>1</v>
      </c>
      <c r="F4" s="145">
        <f>'Input measured data'!F2</f>
        <v>2</v>
      </c>
      <c r="G4" s="145">
        <f>'Input measured data'!G2</f>
        <v>3</v>
      </c>
      <c r="H4" s="145">
        <f>'Input measured data'!H2</f>
        <v>4</v>
      </c>
      <c r="I4" s="145">
        <f>'Input measured data'!I2</f>
        <v>5</v>
      </c>
      <c r="J4" s="145">
        <f>'Input measured data'!J2</f>
        <v>6</v>
      </c>
      <c r="K4" s="145">
        <f>'Input measured data'!K2</f>
        <v>7</v>
      </c>
      <c r="L4" s="145">
        <f>'Input measured data'!L2</f>
        <v>8</v>
      </c>
      <c r="M4" s="145">
        <f>'Input measured data'!M2</f>
        <v>9</v>
      </c>
      <c r="N4" s="145">
        <f>'Input measured data'!N2</f>
        <v>10</v>
      </c>
      <c r="O4" s="145">
        <f>'Input measured data'!O2</f>
        <v>11</v>
      </c>
      <c r="P4" s="145">
        <f>'Input measured data'!P2</f>
        <v>12</v>
      </c>
      <c r="Q4" s="145">
        <f>'Input measured data'!Q2</f>
        <v>13</v>
      </c>
      <c r="R4" s="145">
        <f>'Input measured data'!R2</f>
        <v>14</v>
      </c>
      <c r="S4" s="145">
        <f>'Input measured data'!S2</f>
        <v>15</v>
      </c>
      <c r="T4" s="145">
        <f>'Input measured data'!T2</f>
        <v>16</v>
      </c>
      <c r="U4" s="146" t="s">
        <v>24</v>
      </c>
      <c r="V4" s="146" t="s">
        <v>25</v>
      </c>
      <c r="W4" s="146" t="s">
        <v>26</v>
      </c>
      <c r="X4" s="147"/>
      <c r="Y4" s="252" t="s">
        <v>27</v>
      </c>
      <c r="Z4" s="252" t="s">
        <v>28</v>
      </c>
      <c r="AA4" s="147"/>
      <c r="AB4" s="148" t="s">
        <v>29</v>
      </c>
      <c r="AC4" s="148" t="s">
        <v>30</v>
      </c>
      <c r="AD4" s="90"/>
      <c r="AE4" s="149" t="str">
        <f aca="true" t="shared" si="0" ref="AE4:AE22">U4</f>
        <v>Mean</v>
      </c>
      <c r="AF4" s="149" t="s">
        <v>38</v>
      </c>
      <c r="AG4" s="24"/>
    </row>
    <row r="5" spans="1:32" ht="17.25" customHeight="1">
      <c r="A5" s="150">
        <v>1</v>
      </c>
      <c r="B5" s="49"/>
      <c r="C5" s="49"/>
      <c r="D5" s="88"/>
      <c r="E5" s="313">
        <f>IF(E4&lt;=E2,'Input measured data'!E3,"")</f>
        <v>1</v>
      </c>
      <c r="F5" s="313">
        <f>IF(F4&lt;=F2,'Input measured data'!F3,"")</f>
        <v>0</v>
      </c>
      <c r="G5" s="313">
        <f>IF(G4&lt;=G2,'Input measured data'!G3,"")</f>
        <v>1</v>
      </c>
      <c r="H5" s="313">
        <f>IF(H4&lt;=H2,'Input measured data'!H3,"")</f>
        <v>2</v>
      </c>
      <c r="I5" s="313">
        <f>IF(I4&lt;=I2,'Input measured data'!I3,"")</f>
        <v>0</v>
      </c>
      <c r="J5" s="313">
        <f>IF(J4&lt;=J2,'Input measured data'!J3,"")</f>
        <v>0</v>
      </c>
      <c r="K5" s="313">
        <f>IF(K4&lt;=K2,'Input measured data'!K3,"")</f>
        <v>1</v>
      </c>
      <c r="L5" s="313">
        <f>IF(L4&lt;=L2,'Input measured data'!L3,"")</f>
        <v>1</v>
      </c>
      <c r="M5" s="313">
        <f>IF(M4&lt;=M2,'Input measured data'!M3,"")</f>
        <v>0</v>
      </c>
      <c r="N5" s="313">
        <f>IF(N4&lt;=N2,'Input measured data'!N3,"")</f>
      </c>
      <c r="O5" s="313">
        <f>IF(O4&lt;=O2,'Input measured data'!O3,"")</f>
      </c>
      <c r="P5" s="313">
        <f>IF(P4&lt;=P2,'Input measured data'!P3,"")</f>
      </c>
      <c r="Q5" s="313">
        <f>IF(Q4&lt;=Q2,'Input measured data'!Q3,"")</f>
      </c>
      <c r="R5" s="313">
        <f>IF(R4&lt;=R2,'Input measured data'!R3,"")</f>
      </c>
      <c r="S5" s="313">
        <f>IF(S4&lt;=S2,'Input measured data'!S3,"")</f>
      </c>
      <c r="T5" s="313">
        <f>IF(T4&lt;=T2,'Input measured data'!T3,"")</f>
      </c>
      <c r="U5" s="151">
        <f aca="true" t="shared" si="1" ref="U5:U22">AVERAGE(E5:T5)</f>
        <v>0.6666666666666666</v>
      </c>
      <c r="V5" s="151">
        <f aca="true" t="shared" si="2" ref="V5:V22">VAR(E5:T5)</f>
        <v>0.5</v>
      </c>
      <c r="W5" s="151">
        <f>10*LOG(U5^2/V5)</f>
        <v>-0.5115252244738131</v>
      </c>
      <c r="X5" s="59"/>
      <c r="Y5" s="254">
        <f aca="true" t="shared" si="3" ref="Y5:Y22">SUMSQ(E5:T5)/COUNT(E5:T5)</f>
        <v>0.8888888888888888</v>
      </c>
      <c r="Z5" s="253">
        <f aca="true" t="shared" si="4" ref="Z5:Z22">-10*LOG(Y5)</f>
        <v>0.5115252244738131</v>
      </c>
      <c r="AA5" s="59"/>
      <c r="AB5" s="152" t="e">
        <f aca="true" t="shared" si="5" ref="AB5:AB22">(IF(ISTEXT(E5),0,1/E5^2)+IF(ISTEXT(F5),0,1/F5^2)+IF(ISTEXT(G5),0,1/G5^2)+IF(ISTEXT(H5),0,1/H5^2)+IF(ISTEXT(I5),0,1/I5^2)+IF(ISTEXT(J5),0,1/J5^2)+IF(ISTEXT(K5),0,1/K5^2)+IF(ISTEXT(L5),0,1/L5^2)+IF(ISTEXT(M5),0,1/M5^2)+IF(ISTEXT(N5),0,1/N5^2)+IF(ISTEXT(O5),0,1/O5^2)+IF(ISTEXT(P5),0,1/P5^2)+IF(ISTEXT(Q5),0,1/Q5^2)+IF(ISTEXT(R5),0,1/R5^2)+IF(ISTEXT(S5),0,1/S5^2)+IF(ISTEXT(T5),0,1/T5^2))/COUNT(E5:T5)</f>
        <v>#DIV/0!</v>
      </c>
      <c r="AC5" s="152" t="e">
        <f aca="true" t="shared" si="6" ref="AC5:AC22">-10*LOG(AB5)</f>
        <v>#DIV/0!</v>
      </c>
      <c r="AD5" s="59"/>
      <c r="AE5" s="153">
        <f t="shared" si="0"/>
        <v>0.6666666666666666</v>
      </c>
      <c r="AF5" s="153">
        <f aca="true" t="shared" si="7" ref="AF5:AF22">10*LOG(AE5*AE5)</f>
        <v>-3.521825181113625</v>
      </c>
    </row>
    <row r="6" spans="1:32" ht="17.25" customHeight="1">
      <c r="A6" s="150">
        <v>2</v>
      </c>
      <c r="B6" s="49"/>
      <c r="C6" s="49"/>
      <c r="D6" s="88"/>
      <c r="E6" s="313">
        <f>IF(E4&lt;=E2,'Input measured data'!E4,"")</f>
        <v>1</v>
      </c>
      <c r="F6" s="313">
        <f>IF(F4&lt;=F2,'Input measured data'!F4,"")</f>
        <v>2</v>
      </c>
      <c r="G6" s="313">
        <f>IF(G4&lt;=G2,'Input measured data'!G4,"")</f>
        <v>8</v>
      </c>
      <c r="H6" s="313">
        <f>IF(H4&lt;=H2,'Input measured data'!H4,"")</f>
        <v>180</v>
      </c>
      <c r="I6" s="313">
        <f>IF(I4&lt;=I2,'Input measured data'!I4,"")</f>
        <v>5</v>
      </c>
      <c r="J6" s="313">
        <f>IF(J4&lt;=J2,'Input measured data'!J4,"")</f>
        <v>0</v>
      </c>
      <c r="K6" s="313">
        <f>IF(K4&lt;=K2,'Input measured data'!K4,"")</f>
        <v>126</v>
      </c>
      <c r="L6" s="313">
        <f>IF(L4&lt;=L2,'Input measured data'!L4,"")</f>
        <v>3</v>
      </c>
      <c r="M6" s="313">
        <f>IF(M4&lt;=M2,'Input measured data'!M4,"")</f>
        <v>1</v>
      </c>
      <c r="N6" s="313">
        <f>IF(N4&lt;=N2,'Input measured data'!N4,"")</f>
      </c>
      <c r="O6" s="313">
        <f>IF(O4&lt;=O2,'Input measured data'!O4,"")</f>
      </c>
      <c r="P6" s="313">
        <f>IF(P4&lt;=P2,'Input measured data'!P4,"")</f>
      </c>
      <c r="Q6" s="313">
        <f>IF(Q4&lt;=Q2,'Input measured data'!Q4,"")</f>
      </c>
      <c r="R6" s="313">
        <f>IF(R4&lt;=R2,'Input measured data'!R4,"")</f>
      </c>
      <c r="S6" s="313">
        <f>IF(S4&lt;=S2,'Input measured data'!S4,"")</f>
      </c>
      <c r="T6" s="313">
        <f>IF(T4&lt;=T2,'Input measured data'!T4,"")</f>
      </c>
      <c r="U6" s="151">
        <f t="shared" si="1"/>
        <v>36.22222222222222</v>
      </c>
      <c r="V6" s="151">
        <f t="shared" si="2"/>
        <v>4571.444444444444</v>
      </c>
      <c r="W6" s="151">
        <f aca="true" t="shared" si="8" ref="W6:W22">10*LOG(U6^2/V6)</f>
        <v>-5.42103265012754</v>
      </c>
      <c r="X6" s="59"/>
      <c r="Y6" s="254">
        <f t="shared" si="3"/>
        <v>5375.555555555556</v>
      </c>
      <c r="Z6" s="253">
        <f t="shared" si="4"/>
        <v>-37.30423354586536</v>
      </c>
      <c r="AA6" s="59"/>
      <c r="AB6" s="152" t="e">
        <f t="shared" si="5"/>
        <v>#DIV/0!</v>
      </c>
      <c r="AC6" s="152" t="e">
        <f t="shared" si="6"/>
        <v>#DIV/0!</v>
      </c>
      <c r="AD6" s="59"/>
      <c r="AE6" s="153">
        <f t="shared" si="0"/>
        <v>36.22222222222222</v>
      </c>
      <c r="AF6" s="153">
        <f t="shared" si="7"/>
        <v>31.179501812572283</v>
      </c>
    </row>
    <row r="7" spans="1:32" ht="17.25" customHeight="1">
      <c r="A7" s="150">
        <v>3</v>
      </c>
      <c r="B7" s="49"/>
      <c r="C7" s="49"/>
      <c r="D7" s="88"/>
      <c r="E7" s="313">
        <f>IF(E4&lt;=E2,'Input measured data'!E5,"")</f>
        <v>3</v>
      </c>
      <c r="F7" s="313">
        <f>IF(F4&lt;=F2,'Input measured data'!F5,"")</f>
        <v>35</v>
      </c>
      <c r="G7" s="313">
        <f>IF(G4&lt;=G2,'Input measured data'!G5,"")</f>
        <v>106</v>
      </c>
      <c r="H7" s="313">
        <f>IF(H4&lt;=H2,'Input measured data'!H5,"")</f>
        <v>360</v>
      </c>
      <c r="I7" s="313">
        <f>IF(I4&lt;=I2,'Input measured data'!I5,"")</f>
        <v>38</v>
      </c>
      <c r="J7" s="313">
        <f>IF(J4&lt;=J2,'Input measured data'!J5,"")</f>
        <v>135</v>
      </c>
      <c r="K7" s="313">
        <f>IF(K4&lt;=K2,'Input measured data'!K5,"")</f>
        <v>315</v>
      </c>
      <c r="L7" s="313">
        <f>IF(L4&lt;=L2,'Input measured data'!L5,"")</f>
        <v>50</v>
      </c>
      <c r="M7" s="313">
        <f>IF(M4&lt;=M2,'Input measured data'!M5,"")</f>
        <v>180</v>
      </c>
      <c r="N7" s="313">
        <f>IF(N4&lt;=N2,'Input measured data'!N5,"")</f>
      </c>
      <c r="O7" s="313">
        <f>IF(O4&lt;=O2,'Input measured data'!O5,"")</f>
      </c>
      <c r="P7" s="313">
        <f>IF(P4&lt;=P2,'Input measured data'!P5,"")</f>
      </c>
      <c r="Q7" s="313">
        <f>IF(Q4&lt;=Q2,'Input measured data'!Q5,"")</f>
      </c>
      <c r="R7" s="313">
        <f>IF(R4&lt;=R2,'Input measured data'!R5,"")</f>
      </c>
      <c r="S7" s="313">
        <f>IF(S4&lt;=S2,'Input measured data'!S5,"")</f>
      </c>
      <c r="T7" s="313">
        <f>IF(T4&lt;=T2,'Input measured data'!T5,"")</f>
      </c>
      <c r="U7" s="151">
        <f t="shared" si="1"/>
        <v>135.77777777777777</v>
      </c>
      <c r="V7" s="151">
        <f t="shared" si="2"/>
        <v>16242.944444444445</v>
      </c>
      <c r="W7" s="151">
        <f t="shared" si="8"/>
        <v>0.5499263403517227</v>
      </c>
      <c r="X7" s="59"/>
      <c r="Y7" s="254">
        <f t="shared" si="3"/>
        <v>32873.77777777778</v>
      </c>
      <c r="Z7" s="253">
        <f t="shared" si="4"/>
        <v>-45.16849615057233</v>
      </c>
      <c r="AA7" s="59"/>
      <c r="AB7" s="152">
        <f t="shared" si="5"/>
        <v>0.012579165122008568</v>
      </c>
      <c r="AC7" s="152">
        <f t="shared" si="6"/>
        <v>19.003481820176795</v>
      </c>
      <c r="AD7" s="59"/>
      <c r="AE7" s="153">
        <f t="shared" si="0"/>
        <v>135.77777777777777</v>
      </c>
      <c r="AF7" s="153">
        <f t="shared" si="7"/>
        <v>42.65657392934421</v>
      </c>
    </row>
    <row r="8" spans="1:32" ht="17.25" customHeight="1">
      <c r="A8" s="150">
        <v>4</v>
      </c>
      <c r="B8" s="49"/>
      <c r="C8" s="49"/>
      <c r="D8" s="88"/>
      <c r="E8" s="313">
        <f>IF(E4&lt;=E2,'Input measured data'!E6,"")</f>
        <v>6</v>
      </c>
      <c r="F8" s="313">
        <f>IF(F4&lt;=F2,'Input measured data'!F6,"")</f>
        <v>15</v>
      </c>
      <c r="G8" s="313">
        <f>IF(G4&lt;=G2,'Input measured data'!G6,"")</f>
        <v>6</v>
      </c>
      <c r="H8" s="313">
        <f>IF(H4&lt;=H2,'Input measured data'!H6,"")</f>
        <v>17</v>
      </c>
      <c r="I8" s="313">
        <f>IF(I4&lt;=I2,'Input measured data'!I6,"")</f>
        <v>20</v>
      </c>
      <c r="J8" s="313">
        <f>IF(J4&lt;=J2,'Input measured data'!J6,"")</f>
        <v>16</v>
      </c>
      <c r="K8" s="313">
        <f>IF(K4&lt;=K2,'Input measured data'!K6,"")</f>
        <v>15</v>
      </c>
      <c r="L8" s="313">
        <f>IF(L4&lt;=L2,'Input measured data'!L6,"")</f>
        <v>40</v>
      </c>
      <c r="M8" s="313">
        <f>IF(M4&lt;=M2,'Input measured data'!M6,"")</f>
        <v>18</v>
      </c>
      <c r="N8" s="313">
        <f>IF(N4&lt;=N2,'Input measured data'!N6,"")</f>
      </c>
      <c r="O8" s="313">
        <f>IF(O4&lt;=O2,'Input measured data'!O6,"")</f>
      </c>
      <c r="P8" s="313">
        <f>IF(P4&lt;=P2,'Input measured data'!P6,"")</f>
      </c>
      <c r="Q8" s="313">
        <f>IF(Q4&lt;=Q2,'Input measured data'!Q6,"")</f>
      </c>
      <c r="R8" s="313">
        <f>IF(R4&lt;=R2,'Input measured data'!R6,"")</f>
      </c>
      <c r="S8" s="313">
        <f>IF(S4&lt;=S2,'Input measured data'!S6,"")</f>
      </c>
      <c r="T8" s="313">
        <f>IF(T4&lt;=T2,'Input measured data'!T6,"")</f>
      </c>
      <c r="U8" s="151">
        <f t="shared" si="1"/>
        <v>17</v>
      </c>
      <c r="V8" s="151">
        <f t="shared" si="2"/>
        <v>98.75</v>
      </c>
      <c r="W8" s="151">
        <f t="shared" si="8"/>
        <v>4.663607384580501</v>
      </c>
      <c r="X8" s="59"/>
      <c r="Y8" s="254">
        <f t="shared" si="3"/>
        <v>376.77777777777777</v>
      </c>
      <c r="Z8" s="253">
        <f t="shared" si="4"/>
        <v>-25.760852803387614</v>
      </c>
      <c r="AA8" s="59"/>
      <c r="AB8" s="152">
        <f t="shared" si="5"/>
        <v>0.008669146867776402</v>
      </c>
      <c r="AC8" s="152">
        <f t="shared" si="6"/>
        <v>20.62023639415076</v>
      </c>
      <c r="AD8" s="59"/>
      <c r="AE8" s="153">
        <f t="shared" si="0"/>
        <v>17</v>
      </c>
      <c r="AF8" s="153">
        <f t="shared" si="7"/>
        <v>24.60897842756548</v>
      </c>
    </row>
    <row r="9" spans="1:32" ht="17.25" customHeight="1">
      <c r="A9" s="150">
        <v>5</v>
      </c>
      <c r="B9" s="49"/>
      <c r="C9" s="49"/>
      <c r="D9" s="88"/>
      <c r="E9" s="313">
        <f>IF(E4&lt;=E2,'Input measured data'!E7,"")</f>
        <v>1720</v>
      </c>
      <c r="F9" s="313">
        <f>IF(F4&lt;=F2,'Input measured data'!F7,"")</f>
        <v>1980</v>
      </c>
      <c r="G9" s="313">
        <f>IF(G4&lt;=G2,'Input measured data'!G7,"")</f>
        <v>2000</v>
      </c>
      <c r="H9" s="313">
        <f>IF(H4&lt;=H2,'Input measured data'!H7,"")</f>
        <v>487</v>
      </c>
      <c r="I9" s="313">
        <f>IF(I4&lt;=I2,'Input measured data'!I7,"")</f>
        <v>810</v>
      </c>
      <c r="J9" s="313">
        <f>IF(J4&lt;=J2,'Input measured data'!J7,"")</f>
        <v>400</v>
      </c>
      <c r="K9" s="313">
        <f>IF(K4&lt;=K2,'Input measured data'!K7,"")</f>
        <v>2020</v>
      </c>
      <c r="L9" s="313">
        <f>IF(L4&lt;=L2,'Input measured data'!L7,"")</f>
        <v>360</v>
      </c>
      <c r="M9" s="313">
        <f>IF(M4&lt;=M2,'Input measured data'!M7,"")</f>
        <v>12</v>
      </c>
      <c r="N9" s="313">
        <f>IF(N4&lt;=N2,'Input measured data'!N7,"")</f>
      </c>
      <c r="O9" s="313">
        <f>IF(O4&lt;=O2,'Input measured data'!O7,"")</f>
      </c>
      <c r="P9" s="313">
        <f>IF(P4&lt;=P2,'Input measured data'!P7,"")</f>
      </c>
      <c r="Q9" s="313">
        <f>IF(Q4&lt;=Q2,'Input measured data'!Q7,"")</f>
      </c>
      <c r="R9" s="313">
        <f>IF(R4&lt;=R2,'Input measured data'!R7,"")</f>
      </c>
      <c r="S9" s="313">
        <f>IF(S4&lt;=S2,'Input measured data'!S7,"")</f>
      </c>
      <c r="T9" s="313">
        <f>IF(T4&lt;=T2,'Input measured data'!T7,"")</f>
      </c>
      <c r="U9" s="151">
        <f t="shared" si="1"/>
        <v>1087.6666666666667</v>
      </c>
      <c r="V9" s="151">
        <f t="shared" si="2"/>
        <v>686880.5</v>
      </c>
      <c r="W9" s="151">
        <f t="shared" si="8"/>
        <v>2.3611045086554734</v>
      </c>
      <c r="X9" s="59"/>
      <c r="Y9" s="254">
        <f t="shared" si="3"/>
        <v>1793579.2222222222</v>
      </c>
      <c r="Z9" s="253">
        <f t="shared" si="4"/>
        <v>-62.537205641812605</v>
      </c>
      <c r="AA9" s="59"/>
      <c r="AB9" s="152">
        <f t="shared" si="5"/>
        <v>0.0007739154694395733</v>
      </c>
      <c r="AC9" s="152">
        <f t="shared" si="6"/>
        <v>31.11306472341335</v>
      </c>
      <c r="AD9" s="59"/>
      <c r="AE9" s="153">
        <f t="shared" si="0"/>
        <v>1087.6666666666667</v>
      </c>
      <c r="AF9" s="153">
        <f t="shared" si="7"/>
        <v>60.72991638136425</v>
      </c>
    </row>
    <row r="10" spans="1:32" ht="17.25" customHeight="1">
      <c r="A10" s="150">
        <v>6</v>
      </c>
      <c r="B10" s="49"/>
      <c r="C10" s="49"/>
      <c r="D10" s="88"/>
      <c r="E10" s="313">
        <f>IF(E4&lt;=E2,'Input measured data'!E8,"")</f>
        <v>135</v>
      </c>
      <c r="F10" s="313">
        <f>IF(F4&lt;=F2,'Input measured data'!F8,"")</f>
        <v>360</v>
      </c>
      <c r="G10" s="313">
        <f>IF(G4&lt;=G2,'Input measured data'!G8,"")</f>
        <v>1620</v>
      </c>
      <c r="H10" s="313">
        <f>IF(H4&lt;=H2,'Input measured data'!H8,"")</f>
        <v>2430</v>
      </c>
      <c r="I10" s="313">
        <f>IF(I4&lt;=I2,'Input measured data'!I8,"")</f>
        <v>207</v>
      </c>
      <c r="J10" s="313">
        <f>IF(J4&lt;=J2,'Input measured data'!J8,"")</f>
        <v>2</v>
      </c>
      <c r="K10" s="313">
        <f>IF(K4&lt;=K2,'Input measured data'!K8,"")</f>
        <v>2500</v>
      </c>
      <c r="L10" s="313">
        <f>IF(L4&lt;=L2,'Input measured data'!L8,"")</f>
        <v>270</v>
      </c>
      <c r="M10" s="313">
        <f>IF(M4&lt;=M2,'Input measured data'!M8,"")</f>
        <v>35</v>
      </c>
      <c r="N10" s="313">
        <f>IF(N4&lt;=N2,'Input measured data'!N8,"")</f>
      </c>
      <c r="O10" s="313">
        <f>IF(O4&lt;=O2,'Input measured data'!O8,"")</f>
      </c>
      <c r="P10" s="313">
        <f>IF(P4&lt;=P2,'Input measured data'!P8,"")</f>
      </c>
      <c r="Q10" s="313">
        <f>IF(Q4&lt;=Q2,'Input measured data'!Q8,"")</f>
      </c>
      <c r="R10" s="313">
        <f>IF(R4&lt;=R2,'Input measured data'!R8,"")</f>
      </c>
      <c r="S10" s="313">
        <f>IF(S4&lt;=S2,'Input measured data'!S8,"")</f>
      </c>
      <c r="T10" s="313">
        <f>IF(T4&lt;=T2,'Input measured data'!T8,"")</f>
      </c>
      <c r="U10" s="151">
        <f t="shared" si="1"/>
        <v>839.8888888888889</v>
      </c>
      <c r="V10" s="151">
        <f t="shared" si="2"/>
        <v>1086922.861111111</v>
      </c>
      <c r="W10" s="151">
        <f t="shared" si="8"/>
        <v>-1.8775505150690166</v>
      </c>
      <c r="X10" s="59"/>
      <c r="Y10" s="254">
        <f t="shared" si="3"/>
        <v>1671567</v>
      </c>
      <c r="Z10" s="253">
        <f t="shared" si="4"/>
        <v>-62.23123788734229</v>
      </c>
      <c r="AA10" s="59"/>
      <c r="AB10" s="152">
        <f t="shared" si="5"/>
        <v>0.02787963087149801</v>
      </c>
      <c r="AC10" s="152">
        <f t="shared" si="6"/>
        <v>15.54712980629006</v>
      </c>
      <c r="AD10" s="59"/>
      <c r="AE10" s="153">
        <f t="shared" si="0"/>
        <v>839.8888888888889</v>
      </c>
      <c r="AF10" s="153">
        <f t="shared" si="7"/>
        <v>58.484436718042886</v>
      </c>
    </row>
    <row r="11" spans="1:32" ht="17.25" customHeight="1">
      <c r="A11" s="150">
        <v>7</v>
      </c>
      <c r="B11" s="49"/>
      <c r="C11" s="49"/>
      <c r="D11" s="88"/>
      <c r="E11" s="313">
        <f>IF(E4&lt;=E2,'Input measured data'!E9,"")</f>
        <v>360</v>
      </c>
      <c r="F11" s="313">
        <f>IF(F4&lt;=F2,'Input measured data'!F9,"")</f>
        <v>810</v>
      </c>
      <c r="G11" s="313">
        <f>IF(G4&lt;=G2,'Input measured data'!G9,"")</f>
        <v>1215</v>
      </c>
      <c r="H11" s="313">
        <f>IF(H4&lt;=H2,'Input measured data'!H9,"")</f>
        <v>1620</v>
      </c>
      <c r="I11" s="313">
        <f>IF(I4&lt;=I2,'Input measured data'!I9,"")</f>
        <v>117</v>
      </c>
      <c r="J11" s="313">
        <f>IF(J4&lt;=J2,'Input measured data'!J9,"")</f>
        <v>30</v>
      </c>
      <c r="K11" s="313">
        <f>IF(K4&lt;=K2,'Input measured data'!K9,"")</f>
        <v>1800</v>
      </c>
      <c r="L11" s="313">
        <f>IF(L4&lt;=L2,'Input measured data'!L9,"")</f>
        <v>720</v>
      </c>
      <c r="M11" s="313">
        <f>IF(M4&lt;=M2,'Input measured data'!M9,"")</f>
        <v>315</v>
      </c>
      <c r="N11" s="313">
        <f>IF(N4&lt;=N2,'Input measured data'!N9,"")</f>
      </c>
      <c r="O11" s="313">
        <f>IF(O4&lt;=O2,'Input measured data'!O9,"")</f>
      </c>
      <c r="P11" s="313">
        <f>IF(P4&lt;=P2,'Input measured data'!P9,"")</f>
      </c>
      <c r="Q11" s="313">
        <f>IF(Q4&lt;=Q2,'Input measured data'!Q9,"")</f>
      </c>
      <c r="R11" s="313">
        <f>IF(R4&lt;=R2,'Input measured data'!R9,"")</f>
      </c>
      <c r="S11" s="313">
        <f>IF(S4&lt;=S2,'Input measured data'!S9,"")</f>
      </c>
      <c r="T11" s="313">
        <f>IF(T4&lt;=T2,'Input measured data'!T9,"")</f>
      </c>
      <c r="U11" s="151">
        <f t="shared" si="1"/>
        <v>776.3333333333334</v>
      </c>
      <c r="V11" s="151">
        <f t="shared" si="2"/>
        <v>416787.25</v>
      </c>
      <c r="W11" s="151">
        <f t="shared" si="8"/>
        <v>1.6018204270166567</v>
      </c>
      <c r="X11" s="59"/>
      <c r="Y11" s="254">
        <f t="shared" si="3"/>
        <v>973171</v>
      </c>
      <c r="Z11" s="253">
        <f t="shared" si="4"/>
        <v>-59.88189158697304</v>
      </c>
      <c r="AA11" s="59"/>
      <c r="AB11" s="152">
        <f t="shared" si="5"/>
        <v>0.00013408631956938203</v>
      </c>
      <c r="AC11" s="152">
        <f t="shared" si="6"/>
        <v>38.72615529669695</v>
      </c>
      <c r="AD11" s="59"/>
      <c r="AE11" s="153">
        <f t="shared" si="0"/>
        <v>776.3333333333334</v>
      </c>
      <c r="AF11" s="153">
        <f t="shared" si="7"/>
        <v>57.80096467630037</v>
      </c>
    </row>
    <row r="12" spans="1:32" ht="17.25" customHeight="1">
      <c r="A12" s="150">
        <v>8</v>
      </c>
      <c r="B12" s="49"/>
      <c r="C12" s="49"/>
      <c r="D12" s="88"/>
      <c r="E12" s="313">
        <f>IF(E4&lt;=E2,'Input measured data'!E10,"")</f>
        <v>270</v>
      </c>
      <c r="F12" s="313">
        <f>IF(F4&lt;=F2,'Input measured data'!F10,"")</f>
        <v>2730</v>
      </c>
      <c r="G12" s="313">
        <f>IF(G4&lt;=G2,'Input measured data'!G10,"")</f>
        <v>5000</v>
      </c>
      <c r="H12" s="313">
        <f>IF(H4&lt;=H2,'Input measured data'!H10,"")</f>
        <v>360</v>
      </c>
      <c r="I12" s="313">
        <f>IF(I4&lt;=I2,'Input measured data'!I10,"")</f>
        <v>1</v>
      </c>
      <c r="J12" s="313">
        <f>IF(J4&lt;=J2,'Input measured data'!J10,"")</f>
        <v>2</v>
      </c>
      <c r="K12" s="313">
        <f>IF(K4&lt;=K2,'Input measured data'!K10,"")</f>
        <v>9999</v>
      </c>
      <c r="L12" s="313">
        <f>IF(L4&lt;=L2,'Input measured data'!L10,"")</f>
        <v>225</v>
      </c>
      <c r="M12" s="313">
        <f>IF(M4&lt;=M2,'Input measured data'!M10,"")</f>
        <v>1</v>
      </c>
      <c r="N12" s="313">
        <f>IF(N4&lt;=N2,'Input measured data'!N10,"")</f>
      </c>
      <c r="O12" s="313">
        <f>IF(O4&lt;=O2,'Input measured data'!O10,"")</f>
      </c>
      <c r="P12" s="313">
        <f>IF(P4&lt;=P2,'Input measured data'!P10,"")</f>
      </c>
      <c r="Q12" s="313">
        <f>IF(Q4&lt;=Q2,'Input measured data'!Q10,"")</f>
      </c>
      <c r="R12" s="313">
        <f>IF(R4&lt;=R2,'Input measured data'!R10,"")</f>
      </c>
      <c r="S12" s="313">
        <f>IF(S4&lt;=S2,'Input measured data'!S10,"")</f>
      </c>
      <c r="T12" s="313">
        <f>IF(T4&lt;=T2,'Input measured data'!T10,"")</f>
      </c>
      <c r="U12" s="151">
        <f t="shared" si="1"/>
        <v>2065.3333333333335</v>
      </c>
      <c r="V12" s="151">
        <f t="shared" si="2"/>
        <v>11786952</v>
      </c>
      <c r="W12" s="151">
        <f t="shared" si="8"/>
        <v>-4.4142120622280965</v>
      </c>
      <c r="X12" s="59"/>
      <c r="Y12" s="254">
        <f t="shared" si="3"/>
        <v>14742892.444444444</v>
      </c>
      <c r="Z12" s="253">
        <f t="shared" si="4"/>
        <v>-71.68582697188404</v>
      </c>
      <c r="AA12" s="59"/>
      <c r="AB12" s="152">
        <f t="shared" si="5"/>
        <v>0.25000459674832065</v>
      </c>
      <c r="AC12" s="152">
        <f t="shared" si="6"/>
        <v>6.020520060316535</v>
      </c>
      <c r="AD12" s="59"/>
      <c r="AE12" s="153">
        <f t="shared" si="0"/>
        <v>2065.3333333333335</v>
      </c>
      <c r="AF12" s="153">
        <f t="shared" si="7"/>
        <v>66.29980308735011</v>
      </c>
    </row>
    <row r="13" spans="1:32" ht="17.25" customHeight="1">
      <c r="A13" s="150">
        <v>9</v>
      </c>
      <c r="B13" s="49"/>
      <c r="C13" s="49"/>
      <c r="D13" s="88"/>
      <c r="E13" s="313">
        <f>IF(E4&lt;=E2,'Input measured data'!E11,"")</f>
        <v>5000</v>
      </c>
      <c r="F13" s="313">
        <f>IF(F4&lt;=F2,'Input measured data'!F11,"")</f>
        <v>1000</v>
      </c>
      <c r="G13" s="313">
        <f>IF(G4&lt;=G2,'Input measured data'!G11,"")</f>
        <v>1000</v>
      </c>
      <c r="H13" s="313">
        <f>IF(H4&lt;=H2,'Input measured data'!H11,"")</f>
        <v>3000</v>
      </c>
      <c r="I13" s="313">
        <f>IF(I4&lt;=I2,'Input measured data'!I11,"")</f>
        <v>1000</v>
      </c>
      <c r="J13" s="313">
        <f>IF(J4&lt;=J2,'Input measured data'!J11,"")</f>
        <v>1000</v>
      </c>
      <c r="K13" s="313">
        <f>IF(K4&lt;=K2,'Input measured data'!K11,"")</f>
        <v>3000</v>
      </c>
      <c r="L13" s="313">
        <f>IF(L4&lt;=L2,'Input measured data'!L11,"")</f>
        <v>2800</v>
      </c>
      <c r="M13" s="313">
        <f>IF(M4&lt;=M2,'Input measured data'!M11,"")</f>
        <v>2000</v>
      </c>
      <c r="N13" s="313">
        <f>IF(N4&lt;=N2,'Input measured data'!N11,"")</f>
      </c>
      <c r="O13" s="313">
        <f>IF(O4&lt;=O2,'Input measured data'!O11,"")</f>
      </c>
      <c r="P13" s="313">
        <f>IF(P4&lt;=P2,'Input measured data'!P11,"")</f>
      </c>
      <c r="Q13" s="313">
        <f>IF(Q4&lt;=Q2,'Input measured data'!Q11,"")</f>
      </c>
      <c r="R13" s="313">
        <f>IF(R4&lt;=R2,'Input measured data'!R11,"")</f>
      </c>
      <c r="S13" s="313">
        <f>IF(S4&lt;=S2,'Input measured data'!S11,"")</f>
      </c>
      <c r="T13" s="313">
        <f>IF(T4&lt;=T2,'Input measured data'!T11,"")</f>
      </c>
      <c r="U13" s="151">
        <f t="shared" si="1"/>
        <v>2200</v>
      </c>
      <c r="V13" s="151">
        <f t="shared" si="2"/>
        <v>1910000</v>
      </c>
      <c r="W13" s="151">
        <f t="shared" si="8"/>
        <v>4.03811994396685</v>
      </c>
      <c r="X13" s="59"/>
      <c r="Y13" s="254">
        <f t="shared" si="3"/>
        <v>6537777.777777778</v>
      </c>
      <c r="Z13" s="253">
        <f t="shared" si="4"/>
        <v>-68.15430154616168</v>
      </c>
      <c r="AA13" s="74"/>
      <c r="AB13" s="152">
        <f t="shared" si="5"/>
        <v>5.15530360292265E-07</v>
      </c>
      <c r="AC13" s="152">
        <f t="shared" si="6"/>
        <v>62.87745753427717</v>
      </c>
      <c r="AD13" s="74"/>
      <c r="AE13" s="154">
        <f t="shared" si="0"/>
        <v>2200</v>
      </c>
      <c r="AF13" s="153">
        <f t="shared" si="7"/>
        <v>66.84845361644412</v>
      </c>
    </row>
    <row r="14" spans="1:32" ht="17.25" customHeight="1">
      <c r="A14" s="150">
        <v>10</v>
      </c>
      <c r="B14" s="49"/>
      <c r="C14" s="49"/>
      <c r="D14" s="88"/>
      <c r="E14" s="313">
        <f>IF(E4&lt;=E2,'Input measured data'!E12,"")</f>
        <v>3</v>
      </c>
      <c r="F14" s="313">
        <f>IF(F4&lt;=F2,'Input measured data'!F12,"")</f>
        <v>0</v>
      </c>
      <c r="G14" s="313">
        <f>IF(G4&lt;=G2,'Input measured data'!G12,"")</f>
        <v>0</v>
      </c>
      <c r="H14" s="313">
        <f>IF(H4&lt;=H2,'Input measured data'!H12,"")</f>
        <v>3</v>
      </c>
      <c r="I14" s="313">
        <f>IF(I4&lt;=I2,'Input measured data'!I12,"")</f>
        <v>0</v>
      </c>
      <c r="J14" s="313">
        <f>IF(J4&lt;=J2,'Input measured data'!J12,"")</f>
        <v>0</v>
      </c>
      <c r="K14" s="313">
        <f>IF(K4&lt;=K2,'Input measured data'!K12,"")</f>
        <v>1</v>
      </c>
      <c r="L14" s="313">
        <f>IF(L4&lt;=L2,'Input measured data'!L12,"")</f>
        <v>0</v>
      </c>
      <c r="M14" s="313">
        <f>IF(M4&lt;=M2,'Input measured data'!M12,"")</f>
        <v>1</v>
      </c>
      <c r="N14" s="313">
        <f>IF(N4&lt;=N2,'Input measured data'!N12,"")</f>
      </c>
      <c r="O14" s="313">
        <f>IF(O4&lt;=O2,'Input measured data'!O12,"")</f>
      </c>
      <c r="P14" s="313">
        <f>IF(P4&lt;=P2,'Input measured data'!P12,"")</f>
      </c>
      <c r="Q14" s="313">
        <f>IF(Q4&lt;=Q2,'Input measured data'!Q12,"")</f>
      </c>
      <c r="R14" s="313">
        <f>IF(R4&lt;=R2,'Input measured data'!R12,"")</f>
      </c>
      <c r="S14" s="313">
        <f>IF(S4&lt;=S2,'Input measured data'!S12,"")</f>
      </c>
      <c r="T14" s="313">
        <f>IF(T4&lt;=T2,'Input measured data'!T12,"")</f>
      </c>
      <c r="U14" s="151">
        <f t="shared" si="1"/>
        <v>0.8888888888888888</v>
      </c>
      <c r="V14" s="151">
        <f t="shared" si="2"/>
        <v>1.6111111111111112</v>
      </c>
      <c r="W14" s="151">
        <f t="shared" si="8"/>
        <v>-3.094305376904126</v>
      </c>
      <c r="X14" s="59"/>
      <c r="Y14" s="254">
        <f t="shared" si="3"/>
        <v>2.2222222222222223</v>
      </c>
      <c r="Z14" s="253">
        <f t="shared" si="4"/>
        <v>-3.467874862246563</v>
      </c>
      <c r="AA14" s="59"/>
      <c r="AB14" s="152" t="e">
        <f t="shared" si="5"/>
        <v>#DIV/0!</v>
      </c>
      <c r="AC14" s="152" t="e">
        <f t="shared" si="6"/>
        <v>#DIV/0!</v>
      </c>
      <c r="AD14" s="74"/>
      <c r="AE14" s="154">
        <f t="shared" si="0"/>
        <v>0.8888888888888888</v>
      </c>
      <c r="AF14" s="153">
        <f t="shared" si="7"/>
        <v>-1.023050448947626</v>
      </c>
    </row>
    <row r="15" spans="1:32" ht="17.25" customHeight="1">
      <c r="A15" s="150">
        <v>11</v>
      </c>
      <c r="B15" s="49"/>
      <c r="C15" s="49"/>
      <c r="D15" s="88"/>
      <c r="E15" s="313">
        <f>IF(E4&lt;=E2,'Input measured data'!E13,"")</f>
        <v>1</v>
      </c>
      <c r="F15" s="313">
        <f>IF(F4&lt;=F2,'Input measured data'!F13,"")</f>
        <v>0</v>
      </c>
      <c r="G15" s="313">
        <f>IF(G4&lt;=G2,'Input measured data'!G13,"")</f>
        <v>1</v>
      </c>
      <c r="H15" s="313">
        <f>IF(H4&lt;=H2,'Input measured data'!H13,"")</f>
        <v>5</v>
      </c>
      <c r="I15" s="313">
        <f>IF(I4&lt;=I2,'Input measured data'!I13,"")</f>
        <v>0</v>
      </c>
      <c r="J15" s="313">
        <f>IF(J4&lt;=J2,'Input measured data'!J13,"")</f>
        <v>0</v>
      </c>
      <c r="K15" s="313">
        <f>IF(K4&lt;=K2,'Input measured data'!K13,"")</f>
        <v>1</v>
      </c>
      <c r="L15" s="313">
        <f>IF(L4&lt;=L2,'Input measured data'!L13,"")</f>
        <v>0</v>
      </c>
      <c r="M15" s="313">
        <f>IF(M4&lt;=M2,'Input measured data'!M13,"")</f>
        <v>1</v>
      </c>
      <c r="N15" s="313">
        <f>IF(N4&lt;=N2,'Input measured data'!N13,"")</f>
      </c>
      <c r="O15" s="313">
        <f>IF(O4&lt;=O2,'Input measured data'!O13,"")</f>
      </c>
      <c r="P15" s="313">
        <f>IF(P4&lt;=P2,'Input measured data'!P13,"")</f>
      </c>
      <c r="Q15" s="313">
        <f>IF(Q4&lt;=Q2,'Input measured data'!Q13,"")</f>
      </c>
      <c r="R15" s="313">
        <f>IF(R4&lt;=R2,'Input measured data'!R13,"")</f>
      </c>
      <c r="S15" s="313">
        <f>IF(S4&lt;=S2,'Input measured data'!S13,"")</f>
      </c>
      <c r="T15" s="313">
        <f>IF(T4&lt;=T2,'Input measured data'!T13,"")</f>
      </c>
      <c r="U15" s="151">
        <f t="shared" si="1"/>
        <v>1</v>
      </c>
      <c r="V15" s="151">
        <f t="shared" si="2"/>
        <v>2.5</v>
      </c>
      <c r="W15" s="151">
        <f t="shared" si="8"/>
        <v>-3.979400086720376</v>
      </c>
      <c r="X15" s="59"/>
      <c r="Y15" s="254">
        <f t="shared" si="3"/>
        <v>3.2222222222222223</v>
      </c>
      <c r="Z15" s="253">
        <f t="shared" si="4"/>
        <v>-5.081554884596312</v>
      </c>
      <c r="AA15" s="59"/>
      <c r="AB15" s="152" t="e">
        <f t="shared" si="5"/>
        <v>#DIV/0!</v>
      </c>
      <c r="AC15" s="152" t="e">
        <f t="shared" si="6"/>
        <v>#DIV/0!</v>
      </c>
      <c r="AD15" s="74"/>
      <c r="AE15" s="154">
        <f t="shared" si="0"/>
        <v>1</v>
      </c>
      <c r="AF15" s="153">
        <f t="shared" si="7"/>
        <v>0</v>
      </c>
    </row>
    <row r="16" spans="1:32" ht="17.25" customHeight="1">
      <c r="A16" s="150">
        <v>12</v>
      </c>
      <c r="B16" s="49"/>
      <c r="C16" s="49"/>
      <c r="D16" s="88"/>
      <c r="E16" s="313">
        <f>IF(E4&lt;=E2,'Input measured data'!E14,"")</f>
        <v>3</v>
      </c>
      <c r="F16" s="313">
        <f>IF(F4&lt;=F2,'Input measured data'!F14,"")</f>
        <v>1620</v>
      </c>
      <c r="G16" s="313">
        <f>IF(G4&lt;=G2,'Input measured data'!G14,"")</f>
        <v>90</v>
      </c>
      <c r="H16" s="313">
        <f>IF(H4&lt;=H2,'Input measured data'!H14,"")</f>
        <v>216</v>
      </c>
      <c r="I16" s="313">
        <f>IF(I4&lt;=I2,'Input measured data'!I14,"")</f>
        <v>5</v>
      </c>
      <c r="J16" s="313">
        <f>IF(J4&lt;=J2,'Input measured data'!J14,"")</f>
        <v>4</v>
      </c>
      <c r="K16" s="313">
        <f>IF(K4&lt;=K2,'Input measured data'!K14,"")</f>
        <v>270</v>
      </c>
      <c r="L16" s="313">
        <f>IF(L4&lt;=L2,'Input measured data'!L14,"")</f>
        <v>8</v>
      </c>
      <c r="M16" s="313">
        <f>IF(M4&lt;=M2,'Input measured data'!M14,"")</f>
        <v>3</v>
      </c>
      <c r="N16" s="313">
        <f>IF(N4&lt;=N2,'Input measured data'!N14,"")</f>
      </c>
      <c r="O16" s="313">
        <f>IF(O4&lt;=O2,'Input measured data'!O14,"")</f>
      </c>
      <c r="P16" s="313">
        <f>IF(P4&lt;=P2,'Input measured data'!P14,"")</f>
      </c>
      <c r="Q16" s="313">
        <f>IF(Q4&lt;=Q2,'Input measured data'!Q14,"")</f>
      </c>
      <c r="R16" s="313">
        <f>IF(R4&lt;=R2,'Input measured data'!R14,"")</f>
      </c>
      <c r="S16" s="313">
        <f>IF(S4&lt;=S2,'Input measured data'!S14,"")</f>
      </c>
      <c r="T16" s="313">
        <f>IF(T4&lt;=T2,'Input measured data'!T14,"")</f>
      </c>
      <c r="U16" s="151">
        <f t="shared" si="1"/>
        <v>246.55555555555554</v>
      </c>
      <c r="V16" s="151">
        <f t="shared" si="2"/>
        <v>275634.02777777775</v>
      </c>
      <c r="W16" s="151">
        <f t="shared" si="8"/>
        <v>-6.565032458065556</v>
      </c>
      <c r="X16" s="59"/>
      <c r="Y16" s="254">
        <f t="shared" si="3"/>
        <v>305797.6666666667</v>
      </c>
      <c r="Z16" s="253">
        <f t="shared" si="4"/>
        <v>-54.85434167284093</v>
      </c>
      <c r="AA16" s="59"/>
      <c r="AB16" s="152">
        <f t="shared" si="5"/>
        <v>0.03783402343816153</v>
      </c>
      <c r="AC16" s="152">
        <f t="shared" si="6"/>
        <v>14.22117471446413</v>
      </c>
      <c r="AD16" s="74"/>
      <c r="AE16" s="154">
        <f t="shared" si="0"/>
        <v>246.55555555555554</v>
      </c>
      <c r="AF16" s="153">
        <f t="shared" si="7"/>
        <v>47.838295855853666</v>
      </c>
    </row>
    <row r="17" spans="1:32" ht="17.25" customHeight="1">
      <c r="A17" s="150">
        <v>13</v>
      </c>
      <c r="B17" s="49"/>
      <c r="C17" s="49"/>
      <c r="D17" s="88"/>
      <c r="E17" s="313">
        <f>IF(E4&lt;=E2,'Input measured data'!E15,"")</f>
        <v>1</v>
      </c>
      <c r="F17" s="313">
        <f>IF(F4&lt;=F2,'Input measured data'!F15,"")</f>
        <v>25</v>
      </c>
      <c r="G17" s="313">
        <f>IF(G4&lt;=G2,'Input measured data'!G15,"")</f>
        <v>270</v>
      </c>
      <c r="H17" s="313">
        <f>IF(H4&lt;=H2,'Input measured data'!H15,"")</f>
        <v>810</v>
      </c>
      <c r="I17" s="313">
        <f>IF(I4&lt;=I2,'Input measured data'!I15,"")</f>
        <v>16</v>
      </c>
      <c r="J17" s="313">
        <f>IF(J4&lt;=J2,'Input measured data'!J15,"")</f>
        <v>1</v>
      </c>
      <c r="K17" s="313">
        <f>IF(K4&lt;=K2,'Input measured data'!K15,"")</f>
        <v>225</v>
      </c>
      <c r="L17" s="313">
        <f>IF(L4&lt;=L2,'Input measured data'!L15,"")</f>
        <v>3</v>
      </c>
      <c r="M17" s="313">
        <f>IF(M4&lt;=M2,'Input measured data'!M15,"")</f>
        <v>0</v>
      </c>
      <c r="N17" s="313">
        <f>IF(N4&lt;=N2,'Input measured data'!N15,"")</f>
      </c>
      <c r="O17" s="313">
        <f>IF(O4&lt;=O2,'Input measured data'!O15,"")</f>
      </c>
      <c r="P17" s="313">
        <f>IF(P4&lt;=P2,'Input measured data'!P15,"")</f>
      </c>
      <c r="Q17" s="313">
        <f>IF(Q4&lt;=Q2,'Input measured data'!Q15,"")</f>
      </c>
      <c r="R17" s="313">
        <f>IF(R4&lt;=R2,'Input measured data'!R15,"")</f>
      </c>
      <c r="S17" s="313">
        <f>IF(S4&lt;=S2,'Input measured data'!S15,"")</f>
      </c>
      <c r="T17" s="313">
        <f>IF(T4&lt;=T2,'Input measured data'!T15,"")</f>
      </c>
      <c r="U17" s="151">
        <f t="shared" si="1"/>
        <v>150.11111111111111</v>
      </c>
      <c r="V17" s="151">
        <f t="shared" si="2"/>
        <v>72214.61111111111</v>
      </c>
      <c r="W17" s="151">
        <f t="shared" si="8"/>
        <v>-5.057993976693915</v>
      </c>
      <c r="X17" s="59"/>
      <c r="Y17" s="254">
        <f t="shared" si="3"/>
        <v>86724.11111111111</v>
      </c>
      <c r="Z17" s="253">
        <f t="shared" si="4"/>
        <v>-49.381398571849786</v>
      </c>
      <c r="AA17" s="59"/>
      <c r="AB17" s="152" t="e">
        <f t="shared" si="5"/>
        <v>#DIV/0!</v>
      </c>
      <c r="AC17" s="152" t="e">
        <f t="shared" si="6"/>
        <v>#DIV/0!</v>
      </c>
      <c r="AD17" s="74"/>
      <c r="AE17" s="154">
        <f t="shared" si="0"/>
        <v>150.11111111111111</v>
      </c>
      <c r="AF17" s="153">
        <f t="shared" si="7"/>
        <v>43.528256791654115</v>
      </c>
    </row>
    <row r="18" spans="1:32" ht="17.25" customHeight="1">
      <c r="A18" s="150">
        <v>14</v>
      </c>
      <c r="B18" s="49"/>
      <c r="C18" s="49"/>
      <c r="D18" s="88"/>
      <c r="E18" s="313">
        <f>IF(E4&lt;=E2,'Input measured data'!E16,"")</f>
        <v>3</v>
      </c>
      <c r="F18" s="313">
        <f>IF(F4&lt;=F2,'Input measured data'!F16,"")</f>
        <v>21</v>
      </c>
      <c r="G18" s="313">
        <f>IF(G4&lt;=G2,'Input measured data'!G16,"")</f>
        <v>162</v>
      </c>
      <c r="H18" s="313">
        <f>IF(H4&lt;=H2,'Input measured data'!H16,"")</f>
        <v>90</v>
      </c>
      <c r="I18" s="313">
        <f>IF(I4&lt;=I2,'Input measured data'!I16,"")</f>
        <v>6</v>
      </c>
      <c r="J18" s="313">
        <f>IF(J4&lt;=J2,'Input measured data'!J16,"")</f>
        <v>1</v>
      </c>
      <c r="K18" s="313">
        <f>IF(K4&lt;=K2,'Input measured data'!K16,"")</f>
        <v>63</v>
      </c>
      <c r="L18" s="313">
        <f>IF(L4&lt;=L2,'Input measured data'!L16,"")</f>
        <v>15</v>
      </c>
      <c r="M18" s="313">
        <f>IF(M4&lt;=M2,'Input measured data'!M16,"")</f>
        <v>39</v>
      </c>
      <c r="N18" s="313">
        <f>IF(N4&lt;=N2,'Input measured data'!N16,"")</f>
      </c>
      <c r="O18" s="313">
        <f>IF(O4&lt;=O2,'Input measured data'!O16,"")</f>
      </c>
      <c r="P18" s="313">
        <f>IF(P4&lt;=P2,'Input measured data'!P16,"")</f>
      </c>
      <c r="Q18" s="313">
        <f>IF(Q4&lt;=Q2,'Input measured data'!Q16,"")</f>
      </c>
      <c r="R18" s="313">
        <f>IF(R4&lt;=R2,'Input measured data'!R16,"")</f>
      </c>
      <c r="S18" s="313">
        <f>IF(S4&lt;=S2,'Input measured data'!S16,"")</f>
      </c>
      <c r="T18" s="313">
        <f>IF(T4&lt;=T2,'Input measured data'!T16,"")</f>
      </c>
      <c r="U18" s="151">
        <f t="shared" si="1"/>
        <v>44.44444444444444</v>
      </c>
      <c r="V18" s="151">
        <f t="shared" si="2"/>
        <v>2846.027777777778</v>
      </c>
      <c r="W18" s="151">
        <f t="shared" si="8"/>
        <v>-1.5860417078923934</v>
      </c>
      <c r="X18" s="59"/>
      <c r="Y18" s="254">
        <f t="shared" si="3"/>
        <v>4505.111111111111</v>
      </c>
      <c r="Z18" s="253">
        <f t="shared" si="4"/>
        <v>-36.53705506601955</v>
      </c>
      <c r="AA18" s="59"/>
      <c r="AB18" s="152">
        <f t="shared" si="5"/>
        <v>0.12740798695511107</v>
      </c>
      <c r="AC18" s="152">
        <f t="shared" si="6"/>
        <v>8.94803346083816</v>
      </c>
      <c r="AD18" s="74"/>
      <c r="AE18" s="154">
        <f t="shared" si="0"/>
        <v>44.44444444444444</v>
      </c>
      <c r="AF18" s="153">
        <f t="shared" si="7"/>
        <v>32.95634963777275</v>
      </c>
    </row>
    <row r="19" spans="1:32" ht="17.25" customHeight="1">
      <c r="A19" s="150">
        <v>15</v>
      </c>
      <c r="B19" s="49"/>
      <c r="C19" s="49"/>
      <c r="D19" s="88"/>
      <c r="E19" s="313">
        <f>IF(E4&lt;=E2,'Input measured data'!E17,"")</f>
        <v>450</v>
      </c>
      <c r="F19" s="313">
        <f>IF(F4&lt;=F2,'Input measured data'!F17,"")</f>
        <v>1200</v>
      </c>
      <c r="G19" s="313">
        <f>IF(G4&lt;=G2,'Input measured data'!G17,"")</f>
        <v>1800</v>
      </c>
      <c r="H19" s="313">
        <f>IF(H4&lt;=H2,'Input measured data'!H17,"")</f>
        <v>2530</v>
      </c>
      <c r="I19" s="313">
        <f>IF(I4&lt;=I2,'Input measured data'!I17,"")</f>
        <v>2080</v>
      </c>
      <c r="J19" s="313">
        <f>IF(J4&lt;=J2,'Input measured data'!J17,"")</f>
        <v>2080</v>
      </c>
      <c r="K19" s="313">
        <f>IF(K4&lt;=K2,'Input measured data'!K17,"")</f>
        <v>1890</v>
      </c>
      <c r="L19" s="313">
        <f>IF(L4&lt;=L2,'Input measured data'!L17,"")</f>
        <v>180</v>
      </c>
      <c r="M19" s="313">
        <f>IF(M4&lt;=M2,'Input measured data'!M17,"")</f>
        <v>25</v>
      </c>
      <c r="N19" s="313">
        <f>IF(N4&lt;=N2,'Input measured data'!N17,"")</f>
      </c>
      <c r="O19" s="313">
        <f>IF(O4&lt;=O2,'Input measured data'!O17,"")</f>
      </c>
      <c r="P19" s="313">
        <f>IF(P4&lt;=P2,'Input measured data'!P17,"")</f>
      </c>
      <c r="Q19" s="313">
        <f>IF(Q4&lt;=Q2,'Input measured data'!Q17,"")</f>
      </c>
      <c r="R19" s="313">
        <f>IF(R4&lt;=R2,'Input measured data'!R17,"")</f>
      </c>
      <c r="S19" s="313">
        <f>IF(S4&lt;=S2,'Input measured data'!S17,"")</f>
      </c>
      <c r="T19" s="313">
        <f>IF(T4&lt;=T2,'Input measured data'!T17,"")</f>
      </c>
      <c r="U19" s="151">
        <f t="shared" si="1"/>
        <v>1359.4444444444443</v>
      </c>
      <c r="V19" s="151">
        <f t="shared" si="2"/>
        <v>863565.2777777778</v>
      </c>
      <c r="W19" s="151">
        <f t="shared" si="8"/>
        <v>3.304277565909888</v>
      </c>
      <c r="X19" s="59"/>
      <c r="Y19" s="254">
        <f t="shared" si="3"/>
        <v>2615702.777777778</v>
      </c>
      <c r="Z19" s="253">
        <f t="shared" si="4"/>
        <v>-64.17588393587809</v>
      </c>
      <c r="AA19" s="59"/>
      <c r="AB19" s="152">
        <f t="shared" si="5"/>
        <v>0.00018196711211804358</v>
      </c>
      <c r="AC19" s="152">
        <f t="shared" si="6"/>
        <v>37.40007097269326</v>
      </c>
      <c r="AD19" s="74"/>
      <c r="AE19" s="154">
        <f t="shared" si="0"/>
        <v>1359.4444444444443</v>
      </c>
      <c r="AF19" s="153">
        <f t="shared" si="7"/>
        <v>62.667229284969665</v>
      </c>
    </row>
    <row r="20" spans="1:32" ht="17.25" customHeight="1">
      <c r="A20" s="150">
        <v>16</v>
      </c>
      <c r="B20" s="49"/>
      <c r="C20" s="49"/>
      <c r="D20" s="88"/>
      <c r="E20" s="313">
        <f>IF(E4&lt;=E2,'Input measured data'!E18,"")</f>
        <v>5</v>
      </c>
      <c r="F20" s="313">
        <f>IF(F4&lt;=F2,'Input measured data'!F18,"")</f>
        <v>6</v>
      </c>
      <c r="G20" s="313">
        <f>IF(G4&lt;=G2,'Input measured data'!G18,"")</f>
        <v>40</v>
      </c>
      <c r="H20" s="313">
        <f>IF(H4&lt;=H2,'Input measured data'!H18,"")</f>
        <v>54</v>
      </c>
      <c r="I20" s="313">
        <f>IF(I4&lt;=I2,'Input measured data'!I18,"")</f>
        <v>0</v>
      </c>
      <c r="J20" s="313">
        <f>IF(J4&lt;=J2,'Input measured data'!J18,"")</f>
        <v>8</v>
      </c>
      <c r="K20" s="313">
        <f>IF(K4&lt;=K2,'Input measured data'!K18,"")</f>
        <v>15</v>
      </c>
      <c r="L20" s="313">
        <f>IF(L4&lt;=L2,'Input measured data'!L18,"")</f>
        <v>1</v>
      </c>
      <c r="M20" s="313">
        <f>IF(M4&lt;=M2,'Input measured data'!M18,"")</f>
        <v>1</v>
      </c>
      <c r="N20" s="313">
        <f>IF(N4&lt;=N2,'Input measured data'!N18,"")</f>
      </c>
      <c r="O20" s="313">
        <f>IF(O4&lt;=O2,'Input measured data'!O18,"")</f>
      </c>
      <c r="P20" s="313">
        <f>IF(P4&lt;=P2,'Input measured data'!P18,"")</f>
      </c>
      <c r="Q20" s="313">
        <f>IF(Q4&lt;=Q2,'Input measured data'!Q18,"")</f>
      </c>
      <c r="R20" s="313">
        <f>IF(R4&lt;=R2,'Input measured data'!R18,"")</f>
      </c>
      <c r="S20" s="313">
        <f>IF(S4&lt;=S2,'Input measured data'!S18,"")</f>
      </c>
      <c r="T20" s="313">
        <f>IF(T4&lt;=T2,'Input measured data'!T18,"")</f>
      </c>
      <c r="U20" s="151">
        <f t="shared" si="1"/>
        <v>14.444444444444445</v>
      </c>
      <c r="V20" s="151">
        <f t="shared" si="2"/>
        <v>373.77777777777777</v>
      </c>
      <c r="W20" s="151">
        <f t="shared" si="8"/>
        <v>-2.532117919515259</v>
      </c>
      <c r="X20" s="59"/>
      <c r="Y20" s="254">
        <f t="shared" si="3"/>
        <v>540.8888888888889</v>
      </c>
      <c r="Z20" s="253">
        <f t="shared" si="4"/>
        <v>-27.331080601187026</v>
      </c>
      <c r="AA20" s="59"/>
      <c r="AB20" s="152" t="e">
        <f t="shared" si="5"/>
        <v>#DIV/0!</v>
      </c>
      <c r="AC20" s="152" t="e">
        <f t="shared" si="6"/>
        <v>#DIV/0!</v>
      </c>
      <c r="AD20" s="74"/>
      <c r="AE20" s="154">
        <f t="shared" si="0"/>
        <v>14.444444444444445</v>
      </c>
      <c r="AF20" s="153">
        <f t="shared" si="7"/>
        <v>23.19401685735024</v>
      </c>
    </row>
    <row r="21" spans="1:32" ht="17.25" customHeight="1">
      <c r="A21" s="150">
        <v>17</v>
      </c>
      <c r="B21" s="49"/>
      <c r="C21" s="49"/>
      <c r="D21" s="88"/>
      <c r="E21" s="313">
        <f>IF(E4&lt;=E2,'Input measured data'!E19,"")</f>
        <v>1200</v>
      </c>
      <c r="F21" s="313">
        <f>IF(F4&lt;=F2,'Input measured data'!F19,"")</f>
        <v>3500</v>
      </c>
      <c r="G21" s="313">
        <f>IF(G4&lt;=G2,'Input measured data'!G19,"")</f>
        <v>3500</v>
      </c>
      <c r="H21" s="313">
        <f>IF(H4&lt;=H2,'Input measured data'!H19,"")</f>
        <v>1000</v>
      </c>
      <c r="I21" s="313">
        <f>IF(I4&lt;=I2,'Input measured data'!I19,"")</f>
        <v>3</v>
      </c>
      <c r="J21" s="313">
        <f>IF(J4&lt;=J2,'Input measured data'!J19,"")</f>
        <v>1</v>
      </c>
      <c r="K21" s="313">
        <f>IF(K4&lt;=K2,'Input measured data'!K19,"")</f>
        <v>9999</v>
      </c>
      <c r="L21" s="313">
        <f>IF(L4&lt;=L2,'Input measured data'!L19,"")</f>
        <v>600</v>
      </c>
      <c r="M21" s="313">
        <f>IF(M4&lt;=M2,'Input measured data'!M19,"")</f>
        <v>8</v>
      </c>
      <c r="N21" s="313">
        <f>IF(N4&lt;=N2,'Input measured data'!N19,"")</f>
      </c>
      <c r="O21" s="313">
        <f>IF(O4&lt;=O2,'Input measured data'!O19,"")</f>
      </c>
      <c r="P21" s="313">
        <f>IF(P4&lt;=P2,'Input measured data'!P19,"")</f>
      </c>
      <c r="Q21" s="313">
        <f>IF(Q4&lt;=Q2,'Input measured data'!Q19,"")</f>
      </c>
      <c r="R21" s="313">
        <f>IF(R4&lt;=R2,'Input measured data'!R19,"")</f>
      </c>
      <c r="S21" s="313">
        <f>IF(S4&lt;=S2,'Input measured data'!S19,"")</f>
      </c>
      <c r="T21" s="313">
        <f>IF(T4&lt;=T2,'Input measured data'!T19,"")</f>
      </c>
      <c r="U21" s="151">
        <f t="shared" si="1"/>
        <v>2201.222222222222</v>
      </c>
      <c r="V21" s="151">
        <f t="shared" si="2"/>
        <v>10458957.694444444</v>
      </c>
      <c r="W21" s="151">
        <f t="shared" si="8"/>
        <v>-3.341606292415614</v>
      </c>
      <c r="X21" s="59"/>
      <c r="Y21" s="254">
        <f t="shared" si="3"/>
        <v>14142230.555555556</v>
      </c>
      <c r="Z21" s="253">
        <f t="shared" si="4"/>
        <v>-71.50517913108035</v>
      </c>
      <c r="AA21" s="59"/>
      <c r="AB21" s="152">
        <f t="shared" si="5"/>
        <v>0.1251934174000711</v>
      </c>
      <c r="AC21" s="152">
        <f t="shared" si="6"/>
        <v>9.024185054864605</v>
      </c>
      <c r="AD21" s="74"/>
      <c r="AE21" s="154">
        <f t="shared" si="0"/>
        <v>2201.222222222222</v>
      </c>
      <c r="AF21" s="153">
        <f t="shared" si="7"/>
        <v>66.85327777076867</v>
      </c>
    </row>
    <row r="22" spans="1:32" ht="17.25" customHeight="1" thickBot="1">
      <c r="A22" s="155">
        <v>18</v>
      </c>
      <c r="B22" s="156"/>
      <c r="C22" s="157"/>
      <c r="D22" s="158"/>
      <c r="E22" s="314">
        <f>IF(E4&lt;=E2,'Input measured data'!E20,"")</f>
        <v>8000</v>
      </c>
      <c r="F22" s="314">
        <f>IF(F4&lt;=F2,'Input measured data'!F20,"")</f>
        <v>2500</v>
      </c>
      <c r="G22" s="314">
        <f>IF(G4&lt;=G2,'Input measured data'!G20,"")</f>
        <v>3500</v>
      </c>
      <c r="H22" s="314">
        <f>IF(H4&lt;=H2,'Input measured data'!H20,"")</f>
        <v>5000</v>
      </c>
      <c r="I22" s="314">
        <f>IF(I4&lt;=I2,'Input measured data'!I20,"")</f>
        <v>1000</v>
      </c>
      <c r="J22" s="314">
        <f>IF(J4&lt;=J2,'Input measured data'!J20,"")</f>
        <v>1000</v>
      </c>
      <c r="K22" s="314">
        <f>IF(K4&lt;=K2,'Input measured data'!K20,"")</f>
        <v>5000</v>
      </c>
      <c r="L22" s="314">
        <f>IF(L4&lt;=L2,'Input measured data'!L20,"")</f>
        <v>2000</v>
      </c>
      <c r="M22" s="314">
        <f>IF(M4&lt;=M2,'Input measured data'!M20,"")</f>
        <v>2000</v>
      </c>
      <c r="N22" s="314">
        <f>IF(N4&lt;=N2,'Input measured data'!N20,"")</f>
      </c>
      <c r="O22" s="314">
        <f>IF(O4&lt;=O2,'Input measured data'!O20,"")</f>
      </c>
      <c r="P22" s="314">
        <f>IF(P4&lt;=P2,'Input measured data'!P20,"")</f>
      </c>
      <c r="Q22" s="314">
        <f>IF(Q4&lt;=Q2,'Input measured data'!Q20,"")</f>
      </c>
      <c r="R22" s="314">
        <f>IF(R4&lt;=R2,'Input measured data'!R20,"")</f>
      </c>
      <c r="S22" s="314">
        <f>IF(S4&lt;=S2,'Input measured data'!S20,"")</f>
      </c>
      <c r="T22" s="314">
        <f>IF(T4&lt;=T2,'Input measured data'!T20,"")</f>
      </c>
      <c r="U22" s="151">
        <f t="shared" si="1"/>
        <v>3333.3333333333335</v>
      </c>
      <c r="V22" s="151">
        <f t="shared" si="2"/>
        <v>5312500</v>
      </c>
      <c r="W22" s="151">
        <f t="shared" si="8"/>
        <v>3.204585475023072</v>
      </c>
      <c r="X22" s="59"/>
      <c r="Y22" s="254">
        <f t="shared" si="3"/>
        <v>15833333.333333334</v>
      </c>
      <c r="Z22" s="253">
        <f t="shared" si="4"/>
        <v>-71.99572354905203</v>
      </c>
      <c r="AA22" s="74"/>
      <c r="AB22" s="152">
        <f t="shared" si="5"/>
        <v>3.1525085034013607E-07</v>
      </c>
      <c r="AC22" s="152">
        <f t="shared" si="6"/>
        <v>65.01343733311484</v>
      </c>
      <c r="AD22" s="74"/>
      <c r="AE22" s="154">
        <f t="shared" si="0"/>
        <v>3333.3333333333335</v>
      </c>
      <c r="AF22" s="153">
        <f t="shared" si="7"/>
        <v>70.45757490560675</v>
      </c>
    </row>
    <row r="23" spans="1:32" ht="12.7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6"/>
      <c r="Z23" s="106"/>
      <c r="AA23" s="105"/>
      <c r="AB23" s="105"/>
      <c r="AC23" s="105"/>
      <c r="AD23" s="105"/>
      <c r="AE23" s="105"/>
      <c r="AF23" s="105"/>
    </row>
    <row r="24" spans="1:32" ht="15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59"/>
      <c r="M24" s="159"/>
      <c r="N24" s="105"/>
      <c r="O24" s="160"/>
      <c r="P24" s="160"/>
      <c r="Q24" s="105"/>
      <c r="R24" s="105"/>
      <c r="S24" s="105"/>
      <c r="T24" s="105"/>
      <c r="U24" s="105"/>
      <c r="V24" s="105"/>
      <c r="W24" s="105"/>
      <c r="X24" s="105"/>
      <c r="Y24" s="106"/>
      <c r="Z24" s="106"/>
      <c r="AA24" s="105"/>
      <c r="AB24" s="105"/>
      <c r="AC24" s="105"/>
      <c r="AD24" s="105"/>
      <c r="AE24" s="105"/>
      <c r="AF24" s="105"/>
    </row>
    <row r="25" spans="1:32" ht="15.75">
      <c r="A25" s="105"/>
      <c r="B25" s="105"/>
      <c r="C25" s="105"/>
      <c r="D25" s="161"/>
      <c r="E25" s="161"/>
      <c r="F25" s="105"/>
      <c r="G25" s="105"/>
      <c r="H25" s="105"/>
      <c r="I25" s="105"/>
      <c r="J25" s="105"/>
      <c r="K25" s="105"/>
      <c r="L25" s="159"/>
      <c r="M25" s="159"/>
      <c r="N25" s="105"/>
      <c r="O25" s="160"/>
      <c r="P25" s="160"/>
      <c r="Q25" s="105"/>
      <c r="R25" s="105"/>
      <c r="S25" s="105"/>
      <c r="T25" s="105"/>
      <c r="U25" s="105"/>
      <c r="V25" s="105"/>
      <c r="W25" s="105"/>
      <c r="X25" s="105"/>
      <c r="Y25" s="106"/>
      <c r="Z25" s="106"/>
      <c r="AA25" s="105"/>
      <c r="AB25" s="105"/>
      <c r="AC25" s="105"/>
      <c r="AD25" s="105"/>
      <c r="AE25" s="105"/>
      <c r="AF25" s="105"/>
    </row>
    <row r="26" spans="1:32" ht="18" customHeight="1">
      <c r="A26" s="105"/>
      <c r="B26" s="105"/>
      <c r="C26" s="105"/>
      <c r="D26" s="161"/>
      <c r="E26" s="439" t="s">
        <v>102</v>
      </c>
      <c r="F26" s="439"/>
      <c r="G26" s="439"/>
      <c r="H26" s="439"/>
      <c r="I26" s="105"/>
      <c r="J26" s="439" t="s">
        <v>23</v>
      </c>
      <c r="K26" s="439"/>
      <c r="L26" s="439"/>
      <c r="M26" s="162"/>
      <c r="N26" s="440" t="s">
        <v>92</v>
      </c>
      <c r="O26" s="440"/>
      <c r="P26" s="440"/>
      <c r="Q26" s="440"/>
      <c r="R26" s="163"/>
      <c r="S26" s="105"/>
      <c r="T26" s="105"/>
      <c r="U26" s="434" t="s">
        <v>98</v>
      </c>
      <c r="V26" s="434"/>
      <c r="W26" s="434"/>
      <c r="X26" s="105"/>
      <c r="Y26" s="435" t="s">
        <v>99</v>
      </c>
      <c r="Z26" s="435"/>
      <c r="AA26" s="105"/>
      <c r="AB26" s="436" t="s">
        <v>100</v>
      </c>
      <c r="AC26" s="436"/>
      <c r="AD26" s="105"/>
      <c r="AE26" s="438" t="s">
        <v>101</v>
      </c>
      <c r="AF26" s="438"/>
    </row>
    <row r="27" spans="1:32" ht="18" customHeight="1">
      <c r="A27" s="106"/>
      <c r="B27" s="105"/>
      <c r="C27" s="105"/>
      <c r="D27" s="161"/>
      <c r="E27" s="439"/>
      <c r="F27" s="439"/>
      <c r="G27" s="439"/>
      <c r="H27" s="439"/>
      <c r="I27" s="105"/>
      <c r="J27" s="439"/>
      <c r="K27" s="439"/>
      <c r="L27" s="439"/>
      <c r="M27" s="162"/>
      <c r="N27" s="440"/>
      <c r="O27" s="440"/>
      <c r="P27" s="440"/>
      <c r="Q27" s="440"/>
      <c r="R27" s="163"/>
      <c r="S27" s="105"/>
      <c r="T27" s="105"/>
      <c r="U27" s="105"/>
      <c r="V27" s="105"/>
      <c r="W27" s="105"/>
      <c r="X27" s="105"/>
      <c r="Y27" s="106"/>
      <c r="Z27" s="106"/>
      <c r="AA27" s="105"/>
      <c r="AB27" s="105"/>
      <c r="AC27" s="105"/>
      <c r="AD27" s="105"/>
      <c r="AE27" s="105"/>
      <c r="AF27" s="105"/>
    </row>
    <row r="28" spans="1:32" ht="18" customHeight="1">
      <c r="A28" s="106"/>
      <c r="B28" s="105"/>
      <c r="C28" s="105"/>
      <c r="D28" s="161"/>
      <c r="E28" s="439"/>
      <c r="F28" s="439"/>
      <c r="G28" s="439"/>
      <c r="H28" s="439"/>
      <c r="I28" s="105"/>
      <c r="J28" s="439"/>
      <c r="K28" s="439"/>
      <c r="L28" s="439"/>
      <c r="M28" s="162"/>
      <c r="N28" s="440"/>
      <c r="O28" s="440"/>
      <c r="P28" s="440"/>
      <c r="Q28" s="440"/>
      <c r="R28" s="163"/>
      <c r="S28" s="105"/>
      <c r="T28" s="105"/>
      <c r="U28" s="105"/>
      <c r="V28" s="105"/>
      <c r="W28" s="105"/>
      <c r="X28" s="105"/>
      <c r="Y28" s="106"/>
      <c r="Z28" s="106"/>
      <c r="AA28" s="105"/>
      <c r="AB28" s="105"/>
      <c r="AC28" s="105"/>
      <c r="AD28" s="105"/>
      <c r="AE28" s="105"/>
      <c r="AF28" s="105"/>
    </row>
    <row r="29" spans="1:32" ht="18" customHeight="1">
      <c r="A29" s="106"/>
      <c r="B29" s="105"/>
      <c r="C29" s="105"/>
      <c r="D29" s="161"/>
      <c r="E29" s="439"/>
      <c r="F29" s="439"/>
      <c r="G29" s="439"/>
      <c r="H29" s="439"/>
      <c r="I29" s="105"/>
      <c r="J29" s="439"/>
      <c r="K29" s="439"/>
      <c r="L29" s="439"/>
      <c r="M29" s="162"/>
      <c r="N29" s="440"/>
      <c r="O29" s="440"/>
      <c r="P29" s="440"/>
      <c r="Q29" s="440"/>
      <c r="R29" s="163"/>
      <c r="S29" s="105"/>
      <c r="T29" s="105"/>
      <c r="U29" s="105"/>
      <c r="V29" s="105"/>
      <c r="W29" s="105"/>
      <c r="X29" s="105"/>
      <c r="Y29" s="106"/>
      <c r="Z29" s="106"/>
      <c r="AA29" s="105"/>
      <c r="AB29" s="105"/>
      <c r="AC29" s="105"/>
      <c r="AD29" s="105"/>
      <c r="AE29" s="105"/>
      <c r="AF29" s="105"/>
    </row>
    <row r="30" spans="1:32" ht="18" customHeight="1">
      <c r="A30" s="106"/>
      <c r="B30" s="105"/>
      <c r="C30" s="105"/>
      <c r="D30" s="105"/>
      <c r="E30" s="439"/>
      <c r="F30" s="439"/>
      <c r="G30" s="439"/>
      <c r="H30" s="439"/>
      <c r="I30" s="105"/>
      <c r="J30" s="439"/>
      <c r="K30" s="439"/>
      <c r="L30" s="439"/>
      <c r="M30" s="159"/>
      <c r="N30" s="440"/>
      <c r="O30" s="440"/>
      <c r="P30" s="440"/>
      <c r="Q30" s="440"/>
      <c r="R30" s="163"/>
      <c r="S30" s="105"/>
      <c r="T30" s="105"/>
      <c r="U30" s="105"/>
      <c r="V30" s="105"/>
      <c r="W30" s="105"/>
      <c r="X30" s="105"/>
      <c r="Y30" s="106"/>
      <c r="Z30" s="106"/>
      <c r="AA30" s="105"/>
      <c r="AB30" s="105"/>
      <c r="AC30" s="105"/>
      <c r="AD30" s="105"/>
      <c r="AE30" s="105"/>
      <c r="AF30" s="105"/>
    </row>
    <row r="31" spans="1:32" ht="18" customHeight="1">
      <c r="A31" s="106"/>
      <c r="B31" s="105"/>
      <c r="C31" s="105"/>
      <c r="D31" s="105"/>
      <c r="E31" s="439"/>
      <c r="F31" s="439"/>
      <c r="G31" s="439"/>
      <c r="H31" s="439"/>
      <c r="I31" s="105"/>
      <c r="J31" s="105"/>
      <c r="K31" s="105"/>
      <c r="L31" s="159"/>
      <c r="M31" s="159"/>
      <c r="N31" s="105"/>
      <c r="O31" s="160"/>
      <c r="P31" s="160"/>
      <c r="Q31" s="105"/>
      <c r="R31" s="105"/>
      <c r="S31" s="105"/>
      <c r="T31" s="105"/>
      <c r="U31" s="105"/>
      <c r="V31" s="105"/>
      <c r="W31" s="105"/>
      <c r="X31" s="105"/>
      <c r="Y31" s="106"/>
      <c r="Z31" s="106"/>
      <c r="AA31" s="105"/>
      <c r="AB31" s="105"/>
      <c r="AC31" s="105"/>
      <c r="AD31" s="105"/>
      <c r="AE31" s="105"/>
      <c r="AF31" s="105"/>
    </row>
    <row r="32" spans="10:16" ht="12.75" customHeight="1">
      <c r="J32" s="23"/>
      <c r="K32" s="23"/>
      <c r="L32" s="23"/>
      <c r="M32" s="23"/>
      <c r="O32" s="22"/>
      <c r="P32" s="22"/>
    </row>
    <row r="33" spans="10:16" ht="12.75" customHeight="1">
      <c r="J33" s="23"/>
      <c r="K33" s="23"/>
      <c r="L33" s="23"/>
      <c r="M33" s="23"/>
      <c r="O33" s="22"/>
      <c r="P33" s="22"/>
    </row>
    <row r="34" spans="10:16" ht="12.75" customHeight="1">
      <c r="J34" s="23"/>
      <c r="K34" s="23"/>
      <c r="L34" s="23"/>
      <c r="M34" s="23"/>
      <c r="O34" s="22"/>
      <c r="P34" s="22"/>
    </row>
    <row r="35" spans="10:13" ht="15.75">
      <c r="J35" s="23"/>
      <c r="K35" s="23"/>
      <c r="L35" s="23"/>
      <c r="M35" s="23"/>
    </row>
  </sheetData>
  <sheetProtection password="F750" sheet="1" objects="1" scenarios="1"/>
  <mergeCells count="9">
    <mergeCell ref="AE26:AF26"/>
    <mergeCell ref="E26:H31"/>
    <mergeCell ref="J26:L30"/>
    <mergeCell ref="N26:Q30"/>
    <mergeCell ref="B2:D2"/>
    <mergeCell ref="U26:W26"/>
    <mergeCell ref="Y26:Z26"/>
    <mergeCell ref="AB26:AC26"/>
    <mergeCell ref="B4:D4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AS40"/>
  <sheetViews>
    <sheetView workbookViewId="0" topLeftCell="A1">
      <selection activeCell="B4" sqref="B4"/>
    </sheetView>
  </sheetViews>
  <sheetFormatPr defaultColWidth="9.140625" defaultRowHeight="12.75"/>
  <cols>
    <col min="1" max="1" width="13.28125" style="5" customWidth="1"/>
    <col min="2" max="2" width="29.28125" style="5" customWidth="1"/>
    <col min="3" max="3" width="1.8515625" style="5" customWidth="1"/>
    <col min="4" max="4" width="9.00390625" style="5" hidden="1" customWidth="1"/>
    <col min="5" max="5" width="1.57421875" style="5" customWidth="1"/>
    <col min="6" max="6" width="9.421875" style="5" customWidth="1"/>
    <col min="7" max="7" width="8.00390625" style="5" customWidth="1"/>
    <col min="8" max="8" width="2.140625" style="5" customWidth="1"/>
    <col min="9" max="9" width="8.140625" style="5" customWidth="1"/>
    <col min="10" max="10" width="6.7109375" style="5" customWidth="1"/>
    <col min="11" max="11" width="6.140625" style="5" customWidth="1"/>
    <col min="12" max="12" width="2.7109375" style="5" customWidth="1"/>
    <col min="13" max="15" width="7.7109375" style="5" customWidth="1"/>
    <col min="16" max="16" width="2.57421875" style="5" customWidth="1"/>
    <col min="17" max="19" width="7.7109375" style="5" customWidth="1"/>
    <col min="20" max="20" width="1.8515625" style="5" customWidth="1"/>
    <col min="21" max="23" width="7.00390625" style="5" customWidth="1"/>
    <col min="24" max="24" width="2.00390625" style="5" customWidth="1"/>
    <col min="25" max="27" width="7.00390625" style="5" customWidth="1"/>
    <col min="28" max="28" width="3.140625" style="5" customWidth="1"/>
    <col min="29" max="31" width="6.7109375" style="5" customWidth="1"/>
    <col min="32" max="32" width="2.140625" style="5" customWidth="1"/>
    <col min="33" max="35" width="6.421875" style="5" customWidth="1"/>
    <col min="36" max="36" width="2.00390625" style="5" customWidth="1"/>
    <col min="37" max="39" width="6.57421875" style="5" customWidth="1"/>
    <col min="40" max="40" width="2.00390625" style="5" customWidth="1"/>
    <col min="41" max="43" width="5.8515625" style="5" customWidth="1"/>
    <col min="44" max="44" width="2.7109375" style="5" customWidth="1"/>
    <col min="45" max="16384" width="9.140625" style="5" customWidth="1"/>
  </cols>
  <sheetData>
    <row r="1" spans="1:45" ht="15">
      <c r="A1" s="9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8"/>
      <c r="AR1" s="46"/>
      <c r="AS1" s="46"/>
    </row>
    <row r="2" spans="1:45" ht="15">
      <c r="A2" s="20"/>
      <c r="B2" s="48"/>
      <c r="C2" s="48"/>
      <c r="D2" s="48"/>
      <c r="E2" s="48"/>
      <c r="F2" s="443" t="s">
        <v>55</v>
      </c>
      <c r="G2" s="443"/>
      <c r="H2" s="130"/>
      <c r="I2" s="443" t="s">
        <v>56</v>
      </c>
      <c r="J2" s="443"/>
      <c r="K2" s="443"/>
      <c r="L2" s="130"/>
      <c r="M2" s="444" t="s">
        <v>76</v>
      </c>
      <c r="N2" s="444"/>
      <c r="O2" s="444"/>
      <c r="P2" s="444"/>
      <c r="Q2" s="444"/>
      <c r="R2" s="444"/>
      <c r="S2" s="444"/>
      <c r="T2" s="130"/>
      <c r="U2" s="443" t="s">
        <v>57</v>
      </c>
      <c r="V2" s="443"/>
      <c r="W2" s="443"/>
      <c r="X2" s="130"/>
      <c r="Y2" s="443" t="s">
        <v>58</v>
      </c>
      <c r="Z2" s="443"/>
      <c r="AA2" s="443"/>
      <c r="AB2" s="130"/>
      <c r="AC2" s="443" t="s">
        <v>59</v>
      </c>
      <c r="AD2" s="443"/>
      <c r="AE2" s="443"/>
      <c r="AF2" s="50"/>
      <c r="AG2" s="443" t="s">
        <v>60</v>
      </c>
      <c r="AH2" s="443"/>
      <c r="AI2" s="443"/>
      <c r="AJ2" s="130"/>
      <c r="AK2" s="443" t="s">
        <v>61</v>
      </c>
      <c r="AL2" s="443"/>
      <c r="AM2" s="443"/>
      <c r="AN2" s="130"/>
      <c r="AO2" s="443" t="s">
        <v>62</v>
      </c>
      <c r="AP2" s="443"/>
      <c r="AQ2" s="443"/>
      <c r="AR2" s="46"/>
      <c r="AS2" s="46"/>
    </row>
    <row r="3" spans="1:45" ht="15">
      <c r="A3" s="29" t="s">
        <v>21</v>
      </c>
      <c r="B3" s="133" t="str">
        <f>'Copy Data &amp; calc S-N Ratio QC-B'!Z4</f>
        <v>SN Ratio (smaller-the-Better)</v>
      </c>
      <c r="C3" s="131"/>
      <c r="D3" s="131"/>
      <c r="E3" s="131"/>
      <c r="F3" s="441" t="str">
        <f>'Control-NoIsE Factors &amp; Levels'!$C$4</f>
        <v>empty</v>
      </c>
      <c r="G3" s="441"/>
      <c r="H3" s="131"/>
      <c r="I3" s="441" t="str">
        <f>'Control-NoIsE Factors &amp; Levels'!$C$5</f>
        <v>Temperature</v>
      </c>
      <c r="J3" s="441"/>
      <c r="K3" s="441"/>
      <c r="L3" s="131"/>
      <c r="M3" s="132" t="s">
        <v>64</v>
      </c>
      <c r="N3" s="132" t="s">
        <v>65</v>
      </c>
      <c r="O3" s="132" t="s">
        <v>66</v>
      </c>
      <c r="P3" s="132"/>
      <c r="Q3" s="132" t="s">
        <v>67</v>
      </c>
      <c r="R3" s="132" t="s">
        <v>68</v>
      </c>
      <c r="S3" s="132" t="s">
        <v>69</v>
      </c>
      <c r="T3" s="131"/>
      <c r="U3" s="441" t="str">
        <f>'Control-NoIsE Factors &amp; Levels'!$C$6</f>
        <v>Pressure</v>
      </c>
      <c r="V3" s="441"/>
      <c r="W3" s="441"/>
      <c r="X3" s="131"/>
      <c r="Y3" s="441" t="str">
        <f>'Control-NoIsE Factors &amp; Levels'!$C$7</f>
        <v>Nitrogen</v>
      </c>
      <c r="Z3" s="441"/>
      <c r="AA3" s="441"/>
      <c r="AB3" s="131"/>
      <c r="AC3" s="441" t="str">
        <f>'Control-NoIsE Factors &amp; Levels'!$C$8</f>
        <v>Silane</v>
      </c>
      <c r="AD3" s="441"/>
      <c r="AE3" s="441"/>
      <c r="AF3" s="131"/>
      <c r="AG3" s="441" t="str">
        <f>'Control-NoIsE Factors &amp; Levels'!$C$9</f>
        <v>Initial Settling time</v>
      </c>
      <c r="AH3" s="441"/>
      <c r="AI3" s="441"/>
      <c r="AJ3" s="131"/>
      <c r="AK3" s="441" t="str">
        <f>'Control-NoIsE Factors &amp; Levels'!$C$10</f>
        <v>-</v>
      </c>
      <c r="AL3" s="441"/>
      <c r="AM3" s="441"/>
      <c r="AN3" s="131"/>
      <c r="AO3" s="441" t="str">
        <f>'Control-NoIsE Factors &amp; Levels'!$C$11</f>
        <v>Cleaning Method</v>
      </c>
      <c r="AP3" s="441"/>
      <c r="AQ3" s="442"/>
      <c r="AR3" s="46" t="s">
        <v>10</v>
      </c>
      <c r="AS3" s="46"/>
    </row>
    <row r="4" spans="1:45" ht="15">
      <c r="A4" s="28"/>
      <c r="B4" s="133"/>
      <c r="C4" s="50"/>
      <c r="D4" s="133" t="s">
        <v>33</v>
      </c>
      <c r="E4" s="134"/>
      <c r="F4" s="50" t="str">
        <f>'Control-NoIsE Factors &amp; Levels'!$D$4</f>
        <v>empty</v>
      </c>
      <c r="G4" s="50" t="str">
        <f>'Control-NoIsE Factors &amp; Levels'!$E$4</f>
        <v>empty</v>
      </c>
      <c r="H4" s="134"/>
      <c r="I4" s="50" t="str">
        <f>'Control-NoIsE Factors &amp; Levels'!$D$5</f>
        <v>T1</v>
      </c>
      <c r="J4" s="50" t="str">
        <f>'Control-NoIsE Factors &amp; Levels'!$E$5</f>
        <v>T2</v>
      </c>
      <c r="K4" s="50" t="str">
        <f>'Control-NoIsE Factors &amp; Levels'!$F$5</f>
        <v>T3</v>
      </c>
      <c r="L4" s="134"/>
      <c r="M4" s="51" t="s">
        <v>70</v>
      </c>
      <c r="N4" s="51" t="s">
        <v>71</v>
      </c>
      <c r="O4" s="51" t="s">
        <v>72</v>
      </c>
      <c r="P4" s="51"/>
      <c r="Q4" s="51" t="s">
        <v>73</v>
      </c>
      <c r="R4" s="51" t="s">
        <v>74</v>
      </c>
      <c r="S4" s="51" t="s">
        <v>75</v>
      </c>
      <c r="T4" s="50"/>
      <c r="U4" s="50" t="str">
        <f>'Control-NoIsE Factors &amp; Levels'!$D$6</f>
        <v>P1</v>
      </c>
      <c r="V4" s="50" t="str">
        <f>'Control-NoIsE Factors &amp; Levels'!$E$6</f>
        <v>P2</v>
      </c>
      <c r="W4" s="50" t="str">
        <f>'Control-NoIsE Factors &amp; Levels'!$F$6</f>
        <v>P3</v>
      </c>
      <c r="X4" s="134"/>
      <c r="Y4" s="50" t="str">
        <f>'Control-NoIsE Factors &amp; Levels'!$D$7</f>
        <v>N1</v>
      </c>
      <c r="Z4" s="50" t="str">
        <f>'Control-NoIsE Factors &amp; Levels'!$E$7</f>
        <v>N2</v>
      </c>
      <c r="AA4" s="50" t="str">
        <f>'Control-NoIsE Factors &amp; Levels'!$F$7</f>
        <v>N3</v>
      </c>
      <c r="AB4" s="134"/>
      <c r="AC4" s="50" t="str">
        <f>'Control-NoIsE Factors &amp; Levels'!$D$8</f>
        <v>S1</v>
      </c>
      <c r="AD4" s="50" t="str">
        <f>'Control-NoIsE Factors &amp; Levels'!$E$8</f>
        <v>S2</v>
      </c>
      <c r="AE4" s="50" t="str">
        <f>'Control-NoIsE Factors &amp; Levels'!$F$8</f>
        <v>S3</v>
      </c>
      <c r="AF4" s="134"/>
      <c r="AG4" s="50" t="str">
        <f>'Control-NoIsE Factors &amp; Levels'!$D$9</f>
        <v>I1</v>
      </c>
      <c r="AH4" s="50" t="str">
        <f>'Control-NoIsE Factors &amp; Levels'!$E$9</f>
        <v>I2</v>
      </c>
      <c r="AI4" s="50" t="str">
        <f>'Control-NoIsE Factors &amp; Levels'!$F$9</f>
        <v>I3</v>
      </c>
      <c r="AJ4" s="134"/>
      <c r="AK4" s="50" t="str">
        <f>'Control-NoIsE Factors &amp; Levels'!$D$10</f>
        <v>-</v>
      </c>
      <c r="AL4" s="50" t="str">
        <f>'Control-NoIsE Factors &amp; Levels'!$E$10</f>
        <v>-</v>
      </c>
      <c r="AM4" s="50" t="str">
        <f>'Control-NoIsE Factors &amp; Levels'!$F$10</f>
        <v>-</v>
      </c>
      <c r="AN4" s="134"/>
      <c r="AO4" s="50" t="str">
        <f>'Control-NoIsE Factors &amp; Levels'!$D$11</f>
        <v>C1</v>
      </c>
      <c r="AP4" s="50" t="str">
        <f>'Control-NoIsE Factors &amp; Levels'!$E$11</f>
        <v>C2</v>
      </c>
      <c r="AQ4" s="134" t="str">
        <f>'Control-NoIsE Factors &amp; Levels'!$F$11</f>
        <v>C3</v>
      </c>
      <c r="AR4" s="46"/>
      <c r="AS4" s="56" t="s">
        <v>78</v>
      </c>
    </row>
    <row r="5" spans="1:45" ht="12.75">
      <c r="A5" s="7">
        <v>1</v>
      </c>
      <c r="B5" s="58">
        <f>'Copy Data &amp; calc S-N Ratio QC-B'!Z5</f>
        <v>0.5115252244738131</v>
      </c>
      <c r="C5" s="58"/>
      <c r="D5" s="58"/>
      <c r="E5" s="135"/>
      <c r="F5" s="59">
        <f aca="true" t="shared" si="0" ref="F5:F13">B5</f>
        <v>0.5115252244738131</v>
      </c>
      <c r="G5" s="59"/>
      <c r="H5" s="136"/>
      <c r="I5" s="59">
        <f>B5</f>
        <v>0.5115252244738131</v>
      </c>
      <c r="J5" s="59"/>
      <c r="K5" s="59"/>
      <c r="L5" s="136"/>
      <c r="M5" s="60">
        <f>B5</f>
        <v>0.5115252244738131</v>
      </c>
      <c r="N5" s="60"/>
      <c r="O5" s="60"/>
      <c r="P5" s="60"/>
      <c r="Q5" s="60"/>
      <c r="R5" s="60"/>
      <c r="S5" s="60"/>
      <c r="T5" s="58"/>
      <c r="U5" s="59">
        <f>B5</f>
        <v>0.5115252244738131</v>
      </c>
      <c r="V5" s="59"/>
      <c r="W5" s="59"/>
      <c r="X5" s="136"/>
      <c r="Y5" s="59">
        <f>B5</f>
        <v>0.5115252244738131</v>
      </c>
      <c r="Z5" s="59"/>
      <c r="AA5" s="59"/>
      <c r="AB5" s="136"/>
      <c r="AC5" s="59">
        <f>B5</f>
        <v>0.5115252244738131</v>
      </c>
      <c r="AD5" s="59"/>
      <c r="AE5" s="59"/>
      <c r="AF5" s="136"/>
      <c r="AG5" s="59">
        <f>B5</f>
        <v>0.5115252244738131</v>
      </c>
      <c r="AH5" s="59"/>
      <c r="AI5" s="59"/>
      <c r="AJ5" s="136"/>
      <c r="AK5" s="59">
        <f>B5</f>
        <v>0.5115252244738131</v>
      </c>
      <c r="AL5" s="59"/>
      <c r="AM5" s="59"/>
      <c r="AN5" s="136"/>
      <c r="AO5" s="59">
        <f>B5</f>
        <v>0.5115252244738131</v>
      </c>
      <c r="AP5" s="59"/>
      <c r="AQ5" s="136"/>
      <c r="AR5" s="46"/>
      <c r="AS5" s="46"/>
    </row>
    <row r="6" spans="1:45" ht="12.75">
      <c r="A6" s="7">
        <v>2</v>
      </c>
      <c r="B6" s="58">
        <f>'Copy Data &amp; calc S-N Ratio QC-B'!Z6</f>
        <v>-37.30423354586536</v>
      </c>
      <c r="C6" s="58"/>
      <c r="D6" s="58"/>
      <c r="E6" s="135"/>
      <c r="F6" s="59">
        <f t="shared" si="0"/>
        <v>-37.30423354586536</v>
      </c>
      <c r="G6" s="59"/>
      <c r="H6" s="136"/>
      <c r="I6" s="59">
        <f>B6</f>
        <v>-37.30423354586536</v>
      </c>
      <c r="J6" s="59"/>
      <c r="K6" s="59"/>
      <c r="L6" s="136"/>
      <c r="M6" s="60">
        <f>B6</f>
        <v>-37.30423354586536</v>
      </c>
      <c r="N6" s="60"/>
      <c r="O6" s="60"/>
      <c r="P6" s="60"/>
      <c r="Q6" s="60"/>
      <c r="R6" s="60"/>
      <c r="S6" s="60"/>
      <c r="T6" s="58"/>
      <c r="U6" s="59"/>
      <c r="V6" s="59">
        <f>B6</f>
        <v>-37.30423354586536</v>
      </c>
      <c r="W6" s="59"/>
      <c r="X6" s="136"/>
      <c r="Y6" s="59"/>
      <c r="Z6" s="59">
        <f>B6</f>
        <v>-37.30423354586536</v>
      </c>
      <c r="AA6" s="59"/>
      <c r="AB6" s="136"/>
      <c r="AC6" s="59"/>
      <c r="AD6" s="59">
        <f>B6</f>
        <v>-37.30423354586536</v>
      </c>
      <c r="AE6" s="59"/>
      <c r="AF6" s="136"/>
      <c r="AG6" s="59"/>
      <c r="AH6" s="59">
        <f>B6</f>
        <v>-37.30423354586536</v>
      </c>
      <c r="AI6" s="59"/>
      <c r="AJ6" s="136"/>
      <c r="AK6" s="59"/>
      <c r="AL6" s="59">
        <f>B6</f>
        <v>-37.30423354586536</v>
      </c>
      <c r="AM6" s="59"/>
      <c r="AN6" s="136"/>
      <c r="AO6" s="59"/>
      <c r="AP6" s="59">
        <f>B6</f>
        <v>-37.30423354586536</v>
      </c>
      <c r="AQ6" s="136"/>
      <c r="AR6" s="46"/>
      <c r="AS6" s="46"/>
    </row>
    <row r="7" spans="1:45" ht="12.75">
      <c r="A7" s="7">
        <v>3</v>
      </c>
      <c r="B7" s="58">
        <f>'Copy Data &amp; calc S-N Ratio QC-B'!Z7</f>
        <v>-45.16849615057233</v>
      </c>
      <c r="C7" s="58"/>
      <c r="D7" s="58"/>
      <c r="E7" s="135"/>
      <c r="F7" s="59">
        <f t="shared" si="0"/>
        <v>-45.16849615057233</v>
      </c>
      <c r="G7" s="59"/>
      <c r="H7" s="136"/>
      <c r="I7" s="59">
        <f>B7</f>
        <v>-45.16849615057233</v>
      </c>
      <c r="J7" s="59"/>
      <c r="K7" s="59"/>
      <c r="L7" s="136"/>
      <c r="M7" s="60">
        <f>B7</f>
        <v>-45.16849615057233</v>
      </c>
      <c r="N7" s="60"/>
      <c r="O7" s="60"/>
      <c r="P7" s="60"/>
      <c r="Q7" s="60"/>
      <c r="R7" s="60"/>
      <c r="S7" s="60"/>
      <c r="T7" s="58"/>
      <c r="U7" s="59"/>
      <c r="V7" s="59"/>
      <c r="W7" s="59">
        <f>B7</f>
        <v>-45.16849615057233</v>
      </c>
      <c r="X7" s="136"/>
      <c r="Y7" s="59"/>
      <c r="Z7" s="59"/>
      <c r="AA7" s="59">
        <f>B7</f>
        <v>-45.16849615057233</v>
      </c>
      <c r="AB7" s="136"/>
      <c r="AC7" s="59"/>
      <c r="AD7" s="59"/>
      <c r="AE7" s="59">
        <f>B7</f>
        <v>-45.16849615057233</v>
      </c>
      <c r="AF7" s="136"/>
      <c r="AG7" s="59"/>
      <c r="AH7" s="59"/>
      <c r="AI7" s="59">
        <f>B7</f>
        <v>-45.16849615057233</v>
      </c>
      <c r="AJ7" s="136"/>
      <c r="AK7" s="59"/>
      <c r="AL7" s="59"/>
      <c r="AM7" s="59">
        <f>B7</f>
        <v>-45.16849615057233</v>
      </c>
      <c r="AN7" s="136"/>
      <c r="AO7" s="59"/>
      <c r="AP7" s="59"/>
      <c r="AQ7" s="136">
        <f>B7</f>
        <v>-45.16849615057233</v>
      </c>
      <c r="AR7" s="46"/>
      <c r="AS7" s="46"/>
    </row>
    <row r="8" spans="1:45" ht="12.75">
      <c r="A8" s="7">
        <v>4</v>
      </c>
      <c r="B8" s="58">
        <f>'Copy Data &amp; calc S-N Ratio QC-B'!Z8</f>
        <v>-25.760852803387614</v>
      </c>
      <c r="C8" s="58"/>
      <c r="D8" s="58"/>
      <c r="E8" s="135"/>
      <c r="F8" s="59">
        <f t="shared" si="0"/>
        <v>-25.760852803387614</v>
      </c>
      <c r="G8" s="59"/>
      <c r="H8" s="136"/>
      <c r="I8" s="59"/>
      <c r="J8" s="59">
        <f>B8</f>
        <v>-25.760852803387614</v>
      </c>
      <c r="K8" s="59"/>
      <c r="L8" s="136"/>
      <c r="M8" s="60"/>
      <c r="N8" s="60">
        <f>B8</f>
        <v>-25.760852803387614</v>
      </c>
      <c r="O8" s="60"/>
      <c r="P8" s="60"/>
      <c r="Q8" s="60"/>
      <c r="R8" s="60"/>
      <c r="S8" s="60"/>
      <c r="T8" s="58"/>
      <c r="U8" s="59">
        <f>B8</f>
        <v>-25.760852803387614</v>
      </c>
      <c r="V8" s="59"/>
      <c r="W8" s="59"/>
      <c r="X8" s="136"/>
      <c r="Y8" s="59">
        <f>B8</f>
        <v>-25.760852803387614</v>
      </c>
      <c r="Z8" s="59"/>
      <c r="AA8" s="59"/>
      <c r="AB8" s="136"/>
      <c r="AC8" s="59"/>
      <c r="AD8" s="59">
        <f>B8</f>
        <v>-25.760852803387614</v>
      </c>
      <c r="AE8" s="59"/>
      <c r="AF8" s="136"/>
      <c r="AG8" s="59"/>
      <c r="AH8" s="59">
        <f>B8</f>
        <v>-25.760852803387614</v>
      </c>
      <c r="AI8" s="59"/>
      <c r="AJ8" s="136"/>
      <c r="AK8" s="59"/>
      <c r="AL8" s="59"/>
      <c r="AM8" s="59">
        <f>B8</f>
        <v>-25.760852803387614</v>
      </c>
      <c r="AN8" s="136"/>
      <c r="AO8" s="59"/>
      <c r="AP8" s="59"/>
      <c r="AQ8" s="136">
        <f>B8</f>
        <v>-25.760852803387614</v>
      </c>
      <c r="AR8" s="46"/>
      <c r="AS8" s="46"/>
    </row>
    <row r="9" spans="1:45" ht="12.75">
      <c r="A9" s="7">
        <v>5</v>
      </c>
      <c r="B9" s="58">
        <f>'Copy Data &amp; calc S-N Ratio QC-B'!Z9</f>
        <v>-62.537205641812605</v>
      </c>
      <c r="C9" s="58"/>
      <c r="D9" s="58"/>
      <c r="E9" s="135"/>
      <c r="F9" s="59">
        <f t="shared" si="0"/>
        <v>-62.537205641812605</v>
      </c>
      <c r="G9" s="59"/>
      <c r="H9" s="136"/>
      <c r="I9" s="59"/>
      <c r="J9" s="59">
        <f>B9</f>
        <v>-62.537205641812605</v>
      </c>
      <c r="K9" s="59"/>
      <c r="L9" s="136"/>
      <c r="M9" s="60"/>
      <c r="N9" s="60">
        <f>B9</f>
        <v>-62.537205641812605</v>
      </c>
      <c r="O9" s="60"/>
      <c r="P9" s="60"/>
      <c r="Q9" s="60"/>
      <c r="R9" s="60"/>
      <c r="S9" s="60"/>
      <c r="T9" s="58"/>
      <c r="U9" s="59"/>
      <c r="V9" s="59">
        <f>B9</f>
        <v>-62.537205641812605</v>
      </c>
      <c r="W9" s="59"/>
      <c r="X9" s="136"/>
      <c r="Y9" s="59"/>
      <c r="Z9" s="59">
        <f>B9</f>
        <v>-62.537205641812605</v>
      </c>
      <c r="AA9" s="59"/>
      <c r="AB9" s="136"/>
      <c r="AC9" s="59"/>
      <c r="AD9" s="59"/>
      <c r="AE9" s="59">
        <f>B9</f>
        <v>-62.537205641812605</v>
      </c>
      <c r="AF9" s="136"/>
      <c r="AG9" s="59"/>
      <c r="AH9" s="59"/>
      <c r="AI9" s="59">
        <f>B9</f>
        <v>-62.537205641812605</v>
      </c>
      <c r="AJ9" s="136"/>
      <c r="AK9" s="59">
        <f>B9</f>
        <v>-62.537205641812605</v>
      </c>
      <c r="AL9" s="59"/>
      <c r="AM9" s="59"/>
      <c r="AN9" s="136"/>
      <c r="AO9" s="59">
        <f>B9</f>
        <v>-62.537205641812605</v>
      </c>
      <c r="AP9" s="59"/>
      <c r="AQ9" s="136"/>
      <c r="AR9" s="46"/>
      <c r="AS9" s="46"/>
    </row>
    <row r="10" spans="1:45" ht="12.75">
      <c r="A10" s="7">
        <v>6</v>
      </c>
      <c r="B10" s="58">
        <f>'Copy Data &amp; calc S-N Ratio QC-B'!Z10</f>
        <v>-62.23123788734229</v>
      </c>
      <c r="C10" s="58"/>
      <c r="D10" s="58"/>
      <c r="E10" s="135"/>
      <c r="F10" s="59">
        <f t="shared" si="0"/>
        <v>-62.23123788734229</v>
      </c>
      <c r="G10" s="59"/>
      <c r="H10" s="136"/>
      <c r="I10" s="59"/>
      <c r="J10" s="59">
        <f>B10</f>
        <v>-62.23123788734229</v>
      </c>
      <c r="K10" s="59"/>
      <c r="L10" s="136"/>
      <c r="M10" s="60"/>
      <c r="N10" s="60">
        <f>B10</f>
        <v>-62.23123788734229</v>
      </c>
      <c r="O10" s="60"/>
      <c r="P10" s="60"/>
      <c r="Q10" s="60"/>
      <c r="R10" s="60"/>
      <c r="S10" s="60"/>
      <c r="T10" s="58"/>
      <c r="U10" s="59"/>
      <c r="V10" s="59"/>
      <c r="W10" s="59">
        <f>B10</f>
        <v>-62.23123788734229</v>
      </c>
      <c r="X10" s="136"/>
      <c r="Y10" s="59"/>
      <c r="Z10" s="59"/>
      <c r="AA10" s="59">
        <f>B10</f>
        <v>-62.23123788734229</v>
      </c>
      <c r="AB10" s="136"/>
      <c r="AC10" s="59">
        <f>B10</f>
        <v>-62.23123788734229</v>
      </c>
      <c r="AD10" s="59"/>
      <c r="AE10" s="59"/>
      <c r="AF10" s="136"/>
      <c r="AG10" s="59">
        <f>B10</f>
        <v>-62.23123788734229</v>
      </c>
      <c r="AH10" s="59"/>
      <c r="AI10" s="59"/>
      <c r="AJ10" s="136"/>
      <c r="AK10" s="59"/>
      <c r="AL10" s="59">
        <f>B10</f>
        <v>-62.23123788734229</v>
      </c>
      <c r="AM10" s="59"/>
      <c r="AN10" s="136"/>
      <c r="AO10" s="59"/>
      <c r="AP10" s="59">
        <f>B10</f>
        <v>-62.23123788734229</v>
      </c>
      <c r="AQ10" s="136"/>
      <c r="AR10" s="46"/>
      <c r="AS10" s="46"/>
    </row>
    <row r="11" spans="1:45" ht="12.75">
      <c r="A11" s="7">
        <v>7</v>
      </c>
      <c r="B11" s="58">
        <f>'Copy Data &amp; calc S-N Ratio QC-B'!Z11</f>
        <v>-59.88189158697304</v>
      </c>
      <c r="C11" s="58"/>
      <c r="D11" s="58"/>
      <c r="E11" s="135"/>
      <c r="F11" s="59">
        <f t="shared" si="0"/>
        <v>-59.88189158697304</v>
      </c>
      <c r="G11" s="59"/>
      <c r="H11" s="136"/>
      <c r="I11" s="59"/>
      <c r="J11" s="59"/>
      <c r="K11" s="59">
        <f>B11</f>
        <v>-59.88189158697304</v>
      </c>
      <c r="L11" s="136"/>
      <c r="M11" s="60"/>
      <c r="N11" s="60"/>
      <c r="O11" s="60">
        <f>B11</f>
        <v>-59.88189158697304</v>
      </c>
      <c r="P11" s="60"/>
      <c r="Q11" s="60"/>
      <c r="R11" s="60"/>
      <c r="S11" s="60"/>
      <c r="T11" s="58"/>
      <c r="U11" s="59">
        <f>B11</f>
        <v>-59.88189158697304</v>
      </c>
      <c r="V11" s="59"/>
      <c r="W11" s="59"/>
      <c r="X11" s="136"/>
      <c r="Y11" s="59"/>
      <c r="Z11" s="59">
        <f>B11</f>
        <v>-59.88189158697304</v>
      </c>
      <c r="AA11" s="59"/>
      <c r="AB11" s="136"/>
      <c r="AC11" s="59">
        <f>B11</f>
        <v>-59.88189158697304</v>
      </c>
      <c r="AD11" s="59"/>
      <c r="AE11" s="59"/>
      <c r="AF11" s="136"/>
      <c r="AG11" s="59"/>
      <c r="AH11" s="59"/>
      <c r="AI11" s="59">
        <f>B11</f>
        <v>-59.88189158697304</v>
      </c>
      <c r="AJ11" s="136"/>
      <c r="AK11" s="59"/>
      <c r="AL11" s="59">
        <f>B11</f>
        <v>-59.88189158697304</v>
      </c>
      <c r="AM11" s="59"/>
      <c r="AN11" s="136"/>
      <c r="AO11" s="59"/>
      <c r="AP11" s="59"/>
      <c r="AQ11" s="136">
        <f>B11</f>
        <v>-59.88189158697304</v>
      </c>
      <c r="AR11" s="46"/>
      <c r="AS11" s="46"/>
    </row>
    <row r="12" spans="1:45" ht="12.75">
      <c r="A12" s="7">
        <v>8</v>
      </c>
      <c r="B12" s="58">
        <f>'Copy Data &amp; calc S-N Ratio QC-B'!Z12</f>
        <v>-71.68582697188404</v>
      </c>
      <c r="C12" s="58"/>
      <c r="D12" s="58"/>
      <c r="E12" s="135"/>
      <c r="F12" s="59">
        <f t="shared" si="0"/>
        <v>-71.68582697188404</v>
      </c>
      <c r="G12" s="59"/>
      <c r="H12" s="136"/>
      <c r="I12" s="59"/>
      <c r="J12" s="59"/>
      <c r="K12" s="59">
        <f>B12</f>
        <v>-71.68582697188404</v>
      </c>
      <c r="L12" s="136"/>
      <c r="M12" s="60"/>
      <c r="N12" s="60"/>
      <c r="O12" s="60">
        <f>B12</f>
        <v>-71.68582697188404</v>
      </c>
      <c r="P12" s="60"/>
      <c r="Q12" s="60"/>
      <c r="R12" s="60"/>
      <c r="S12" s="60"/>
      <c r="T12" s="58"/>
      <c r="U12" s="59"/>
      <c r="V12" s="59">
        <f>B12</f>
        <v>-71.68582697188404</v>
      </c>
      <c r="W12" s="59"/>
      <c r="X12" s="136"/>
      <c r="Y12" s="59"/>
      <c r="Z12" s="59"/>
      <c r="AA12" s="59">
        <f>B12</f>
        <v>-71.68582697188404</v>
      </c>
      <c r="AB12" s="136"/>
      <c r="AC12" s="59"/>
      <c r="AD12" s="59">
        <f>B12</f>
        <v>-71.68582697188404</v>
      </c>
      <c r="AE12" s="59"/>
      <c r="AF12" s="136"/>
      <c r="AG12" s="59">
        <f>B12</f>
        <v>-71.68582697188404</v>
      </c>
      <c r="AH12" s="59"/>
      <c r="AI12" s="59"/>
      <c r="AJ12" s="136"/>
      <c r="AK12" s="59"/>
      <c r="AL12" s="59"/>
      <c r="AM12" s="59">
        <f>B12</f>
        <v>-71.68582697188404</v>
      </c>
      <c r="AN12" s="136"/>
      <c r="AO12" s="59">
        <f>B12</f>
        <v>-71.68582697188404</v>
      </c>
      <c r="AP12" s="59"/>
      <c r="AQ12" s="136"/>
      <c r="AR12" s="46"/>
      <c r="AS12" s="46"/>
    </row>
    <row r="13" spans="1:45" ht="12.75">
      <c r="A13" s="7">
        <v>9</v>
      </c>
      <c r="B13" s="58">
        <f>'Copy Data &amp; calc S-N Ratio QC-B'!Z13</f>
        <v>-68.15430154616168</v>
      </c>
      <c r="C13" s="58"/>
      <c r="D13" s="58"/>
      <c r="E13" s="135"/>
      <c r="F13" s="59">
        <f t="shared" si="0"/>
        <v>-68.15430154616168</v>
      </c>
      <c r="G13" s="59"/>
      <c r="H13" s="136"/>
      <c r="I13" s="59"/>
      <c r="J13" s="59"/>
      <c r="K13" s="59">
        <f>B13</f>
        <v>-68.15430154616168</v>
      </c>
      <c r="L13" s="136"/>
      <c r="M13" s="60"/>
      <c r="N13" s="60"/>
      <c r="O13" s="60">
        <f>B13</f>
        <v>-68.15430154616168</v>
      </c>
      <c r="P13" s="60"/>
      <c r="Q13" s="60"/>
      <c r="R13" s="60"/>
      <c r="S13" s="60"/>
      <c r="T13" s="58"/>
      <c r="U13" s="59"/>
      <c r="V13" s="59"/>
      <c r="W13" s="59">
        <f>B13</f>
        <v>-68.15430154616168</v>
      </c>
      <c r="X13" s="136"/>
      <c r="Y13" s="59">
        <f>B13</f>
        <v>-68.15430154616168</v>
      </c>
      <c r="Z13" s="59"/>
      <c r="AA13" s="59"/>
      <c r="AB13" s="136"/>
      <c r="AC13" s="59"/>
      <c r="AD13" s="59"/>
      <c r="AE13" s="59">
        <f>B13</f>
        <v>-68.15430154616168</v>
      </c>
      <c r="AF13" s="136"/>
      <c r="AG13" s="59"/>
      <c r="AH13" s="59">
        <f>B13</f>
        <v>-68.15430154616168</v>
      </c>
      <c r="AI13" s="59"/>
      <c r="AJ13" s="136"/>
      <c r="AK13" s="59">
        <f>B13</f>
        <v>-68.15430154616168</v>
      </c>
      <c r="AL13" s="59"/>
      <c r="AM13" s="59"/>
      <c r="AN13" s="136"/>
      <c r="AO13" s="59"/>
      <c r="AP13" s="59">
        <f>B13</f>
        <v>-68.15430154616168</v>
      </c>
      <c r="AQ13" s="136"/>
      <c r="AR13" s="46"/>
      <c r="AS13" s="46"/>
    </row>
    <row r="14" spans="1:45" ht="12.75">
      <c r="A14" s="7">
        <v>10</v>
      </c>
      <c r="B14" s="58">
        <f>'Copy Data &amp; calc S-N Ratio QC-B'!Z14</f>
        <v>-3.467874862246563</v>
      </c>
      <c r="C14" s="58"/>
      <c r="D14" s="58"/>
      <c r="E14" s="135"/>
      <c r="F14" s="59"/>
      <c r="G14" s="59">
        <f aca="true" t="shared" si="1" ref="G14:G22">B14</f>
        <v>-3.467874862246563</v>
      </c>
      <c r="H14" s="136"/>
      <c r="I14" s="59">
        <f>B14</f>
        <v>-3.467874862246563</v>
      </c>
      <c r="J14" s="59"/>
      <c r="K14" s="59"/>
      <c r="L14" s="136"/>
      <c r="M14" s="60"/>
      <c r="N14" s="60"/>
      <c r="O14" s="60"/>
      <c r="P14" s="60"/>
      <c r="Q14" s="60">
        <f>B14</f>
        <v>-3.467874862246563</v>
      </c>
      <c r="R14" s="60"/>
      <c r="S14" s="60"/>
      <c r="T14" s="58"/>
      <c r="U14" s="59">
        <f>B14</f>
        <v>-3.467874862246563</v>
      </c>
      <c r="V14" s="59"/>
      <c r="W14" s="59"/>
      <c r="X14" s="136"/>
      <c r="Y14" s="59"/>
      <c r="Z14" s="59"/>
      <c r="AA14" s="59">
        <f>B14</f>
        <v>-3.467874862246563</v>
      </c>
      <c r="AB14" s="136"/>
      <c r="AC14" s="59"/>
      <c r="AD14" s="59"/>
      <c r="AE14" s="59">
        <f>B14</f>
        <v>-3.467874862246563</v>
      </c>
      <c r="AF14" s="136"/>
      <c r="AG14" s="59"/>
      <c r="AH14" s="59">
        <f>B14</f>
        <v>-3.467874862246563</v>
      </c>
      <c r="AI14" s="59"/>
      <c r="AJ14" s="136"/>
      <c r="AK14" s="59"/>
      <c r="AL14" s="59">
        <f>B14</f>
        <v>-3.467874862246563</v>
      </c>
      <c r="AM14" s="59"/>
      <c r="AN14" s="136"/>
      <c r="AO14" s="59">
        <f>B14</f>
        <v>-3.467874862246563</v>
      </c>
      <c r="AP14" s="59"/>
      <c r="AQ14" s="136"/>
      <c r="AR14" s="46"/>
      <c r="AS14" s="46"/>
    </row>
    <row r="15" spans="1:45" ht="12.75">
      <c r="A15" s="7">
        <v>11</v>
      </c>
      <c r="B15" s="58">
        <f>'Copy Data &amp; calc S-N Ratio QC-B'!Z15</f>
        <v>-5.081554884596312</v>
      </c>
      <c r="C15" s="58"/>
      <c r="D15" s="58"/>
      <c r="E15" s="135"/>
      <c r="F15" s="59"/>
      <c r="G15" s="59">
        <f t="shared" si="1"/>
        <v>-5.081554884596312</v>
      </c>
      <c r="H15" s="136"/>
      <c r="I15" s="59">
        <f>B15</f>
        <v>-5.081554884596312</v>
      </c>
      <c r="J15" s="59"/>
      <c r="K15" s="59"/>
      <c r="L15" s="136"/>
      <c r="M15" s="60"/>
      <c r="N15" s="60"/>
      <c r="O15" s="60"/>
      <c r="P15" s="60"/>
      <c r="Q15" s="60">
        <f>B15</f>
        <v>-5.081554884596312</v>
      </c>
      <c r="R15" s="60"/>
      <c r="S15" s="60"/>
      <c r="T15" s="58"/>
      <c r="U15" s="59"/>
      <c r="V15" s="59">
        <f>B15</f>
        <v>-5.081554884596312</v>
      </c>
      <c r="W15" s="59"/>
      <c r="X15" s="136"/>
      <c r="Y15" s="59">
        <f>B15</f>
        <v>-5.081554884596312</v>
      </c>
      <c r="Z15" s="59"/>
      <c r="AA15" s="59"/>
      <c r="AB15" s="136"/>
      <c r="AC15" s="59">
        <f>B15</f>
        <v>-5.081554884596312</v>
      </c>
      <c r="AD15" s="59"/>
      <c r="AE15" s="59"/>
      <c r="AF15" s="136"/>
      <c r="AG15" s="59"/>
      <c r="AH15" s="59"/>
      <c r="AI15" s="59">
        <f>B15</f>
        <v>-5.081554884596312</v>
      </c>
      <c r="AJ15" s="136"/>
      <c r="AK15" s="59"/>
      <c r="AL15" s="59"/>
      <c r="AM15" s="59">
        <f>B15</f>
        <v>-5.081554884596312</v>
      </c>
      <c r="AN15" s="136"/>
      <c r="AO15" s="59"/>
      <c r="AP15" s="59">
        <f>B15</f>
        <v>-5.081554884596312</v>
      </c>
      <c r="AQ15" s="136"/>
      <c r="AR15" s="46"/>
      <c r="AS15" s="46"/>
    </row>
    <row r="16" spans="1:45" ht="12.75">
      <c r="A16" s="7">
        <v>12</v>
      </c>
      <c r="B16" s="58">
        <f>'Copy Data &amp; calc S-N Ratio QC-B'!Z16</f>
        <v>-54.85434167284093</v>
      </c>
      <c r="C16" s="58"/>
      <c r="D16" s="58"/>
      <c r="E16" s="135"/>
      <c r="F16" s="59"/>
      <c r="G16" s="59">
        <f t="shared" si="1"/>
        <v>-54.85434167284093</v>
      </c>
      <c r="H16" s="136"/>
      <c r="I16" s="59">
        <f>B16</f>
        <v>-54.85434167284093</v>
      </c>
      <c r="J16" s="59"/>
      <c r="K16" s="59"/>
      <c r="L16" s="136"/>
      <c r="M16" s="60"/>
      <c r="N16" s="60"/>
      <c r="O16" s="60"/>
      <c r="P16" s="60"/>
      <c r="Q16" s="60">
        <f>B16</f>
        <v>-54.85434167284093</v>
      </c>
      <c r="R16" s="60"/>
      <c r="S16" s="60"/>
      <c r="T16" s="58"/>
      <c r="U16" s="59"/>
      <c r="V16" s="59"/>
      <c r="W16" s="59">
        <f>B16</f>
        <v>-54.85434167284093</v>
      </c>
      <c r="X16" s="136"/>
      <c r="Y16" s="59"/>
      <c r="Z16" s="59">
        <f>B16</f>
        <v>-54.85434167284093</v>
      </c>
      <c r="AA16" s="59"/>
      <c r="AB16" s="136"/>
      <c r="AC16" s="59"/>
      <c r="AD16" s="59">
        <f>B16</f>
        <v>-54.85434167284093</v>
      </c>
      <c r="AE16" s="59"/>
      <c r="AF16" s="136"/>
      <c r="AG16" s="59">
        <f>B16</f>
        <v>-54.85434167284093</v>
      </c>
      <c r="AH16" s="59"/>
      <c r="AI16" s="59"/>
      <c r="AJ16" s="136"/>
      <c r="AK16" s="59">
        <f>B16</f>
        <v>-54.85434167284093</v>
      </c>
      <c r="AL16" s="59"/>
      <c r="AM16" s="59"/>
      <c r="AN16" s="136"/>
      <c r="AO16" s="59"/>
      <c r="AP16" s="59"/>
      <c r="AQ16" s="136">
        <f>B16</f>
        <v>-54.85434167284093</v>
      </c>
      <c r="AR16" s="46"/>
      <c r="AS16" s="46"/>
    </row>
    <row r="17" spans="1:45" ht="12.75">
      <c r="A17" s="7">
        <v>13</v>
      </c>
      <c r="B17" s="58">
        <f>'Copy Data &amp; calc S-N Ratio QC-B'!Z17</f>
        <v>-49.381398571849786</v>
      </c>
      <c r="C17" s="58"/>
      <c r="D17" s="58"/>
      <c r="E17" s="135"/>
      <c r="F17" s="59"/>
      <c r="G17" s="59">
        <f t="shared" si="1"/>
        <v>-49.381398571849786</v>
      </c>
      <c r="H17" s="136"/>
      <c r="I17" s="59"/>
      <c r="J17" s="59">
        <f>B17</f>
        <v>-49.381398571849786</v>
      </c>
      <c r="K17" s="59"/>
      <c r="L17" s="136"/>
      <c r="M17" s="60"/>
      <c r="N17" s="60"/>
      <c r="O17" s="60"/>
      <c r="P17" s="60"/>
      <c r="Q17" s="60"/>
      <c r="R17" s="60">
        <f>B17</f>
        <v>-49.381398571849786</v>
      </c>
      <c r="S17" s="60"/>
      <c r="T17" s="58"/>
      <c r="U17" s="59">
        <f>B17</f>
        <v>-49.381398571849786</v>
      </c>
      <c r="V17" s="59"/>
      <c r="W17" s="59"/>
      <c r="X17" s="136"/>
      <c r="Y17" s="59"/>
      <c r="Z17" s="59">
        <f>B17</f>
        <v>-49.381398571849786</v>
      </c>
      <c r="AA17" s="59"/>
      <c r="AB17" s="136"/>
      <c r="AC17" s="59"/>
      <c r="AD17" s="59"/>
      <c r="AE17" s="59">
        <f>B17</f>
        <v>-49.381398571849786</v>
      </c>
      <c r="AF17" s="136"/>
      <c r="AG17" s="59">
        <f>B17</f>
        <v>-49.381398571849786</v>
      </c>
      <c r="AH17" s="59"/>
      <c r="AI17" s="59"/>
      <c r="AJ17" s="136"/>
      <c r="AK17" s="59"/>
      <c r="AL17" s="59"/>
      <c r="AM17" s="59">
        <f>B17</f>
        <v>-49.381398571849786</v>
      </c>
      <c r="AN17" s="136"/>
      <c r="AO17" s="59"/>
      <c r="AP17" s="59">
        <f>B17</f>
        <v>-49.381398571849786</v>
      </c>
      <c r="AQ17" s="136"/>
      <c r="AR17" s="46"/>
      <c r="AS17" s="46"/>
    </row>
    <row r="18" spans="1:45" ht="12.75">
      <c r="A18" s="7">
        <v>14</v>
      </c>
      <c r="B18" s="58">
        <f>'Copy Data &amp; calc S-N Ratio QC-B'!Z18</f>
        <v>-36.53705506601955</v>
      </c>
      <c r="C18" s="58"/>
      <c r="D18" s="58"/>
      <c r="E18" s="135"/>
      <c r="F18" s="59"/>
      <c r="G18" s="59">
        <f t="shared" si="1"/>
        <v>-36.53705506601955</v>
      </c>
      <c r="H18" s="136"/>
      <c r="I18" s="59"/>
      <c r="J18" s="59">
        <f>B18</f>
        <v>-36.53705506601955</v>
      </c>
      <c r="K18" s="59"/>
      <c r="L18" s="136"/>
      <c r="M18" s="60"/>
      <c r="N18" s="60"/>
      <c r="O18" s="60"/>
      <c r="P18" s="60"/>
      <c r="Q18" s="60"/>
      <c r="R18" s="60">
        <f>B18</f>
        <v>-36.53705506601955</v>
      </c>
      <c r="S18" s="60"/>
      <c r="T18" s="58"/>
      <c r="U18" s="59"/>
      <c r="V18" s="59">
        <f>B18</f>
        <v>-36.53705506601955</v>
      </c>
      <c r="W18" s="59"/>
      <c r="X18" s="136"/>
      <c r="Y18" s="59"/>
      <c r="Z18" s="59"/>
      <c r="AA18" s="59">
        <f>B18</f>
        <v>-36.53705506601955</v>
      </c>
      <c r="AB18" s="136"/>
      <c r="AC18" s="59">
        <f>B18</f>
        <v>-36.53705506601955</v>
      </c>
      <c r="AD18" s="59"/>
      <c r="AE18" s="59"/>
      <c r="AF18" s="136"/>
      <c r="AG18" s="59"/>
      <c r="AH18" s="59">
        <f>B18</f>
        <v>-36.53705506601955</v>
      </c>
      <c r="AI18" s="59"/>
      <c r="AJ18" s="136"/>
      <c r="AK18" s="59">
        <f>B18</f>
        <v>-36.53705506601955</v>
      </c>
      <c r="AL18" s="59"/>
      <c r="AM18" s="59"/>
      <c r="AN18" s="136"/>
      <c r="AO18" s="59"/>
      <c r="AP18" s="59"/>
      <c r="AQ18" s="136">
        <f>B18</f>
        <v>-36.53705506601955</v>
      </c>
      <c r="AR18" s="46"/>
      <c r="AS18" s="46"/>
    </row>
    <row r="19" spans="1:45" ht="12.75">
      <c r="A19" s="7">
        <v>15</v>
      </c>
      <c r="B19" s="58">
        <f>'Copy Data &amp; calc S-N Ratio QC-B'!Z19</f>
        <v>-64.17588393587809</v>
      </c>
      <c r="C19" s="58"/>
      <c r="D19" s="58"/>
      <c r="E19" s="135"/>
      <c r="F19" s="59"/>
      <c r="G19" s="59">
        <f t="shared" si="1"/>
        <v>-64.17588393587809</v>
      </c>
      <c r="H19" s="136"/>
      <c r="I19" s="59"/>
      <c r="J19" s="59">
        <f>B19</f>
        <v>-64.17588393587809</v>
      </c>
      <c r="K19" s="59"/>
      <c r="L19" s="136"/>
      <c r="M19" s="60"/>
      <c r="N19" s="60"/>
      <c r="O19" s="60"/>
      <c r="P19" s="60"/>
      <c r="Q19" s="60"/>
      <c r="R19" s="60">
        <f>B19</f>
        <v>-64.17588393587809</v>
      </c>
      <c r="S19" s="60"/>
      <c r="T19" s="58"/>
      <c r="U19" s="59"/>
      <c r="V19" s="59"/>
      <c r="W19" s="59">
        <f>B19</f>
        <v>-64.17588393587809</v>
      </c>
      <c r="X19" s="136"/>
      <c r="Y19" s="59">
        <f>B19</f>
        <v>-64.17588393587809</v>
      </c>
      <c r="Z19" s="59"/>
      <c r="AA19" s="59"/>
      <c r="AB19" s="136"/>
      <c r="AC19" s="59"/>
      <c r="AD19" s="59">
        <f>B19</f>
        <v>-64.17588393587809</v>
      </c>
      <c r="AE19" s="59"/>
      <c r="AF19" s="136"/>
      <c r="AG19" s="59"/>
      <c r="AH19" s="59"/>
      <c r="AI19" s="59">
        <f>B19</f>
        <v>-64.17588393587809</v>
      </c>
      <c r="AJ19" s="136"/>
      <c r="AK19" s="59"/>
      <c r="AL19" s="59">
        <f>B19</f>
        <v>-64.17588393587809</v>
      </c>
      <c r="AM19" s="59"/>
      <c r="AN19" s="136"/>
      <c r="AO19" s="59">
        <f>B19</f>
        <v>-64.17588393587809</v>
      </c>
      <c r="AP19" s="59"/>
      <c r="AQ19" s="136"/>
      <c r="AR19" s="46"/>
      <c r="AS19" s="46"/>
    </row>
    <row r="20" spans="1:45" ht="12.75">
      <c r="A20" s="7">
        <v>16</v>
      </c>
      <c r="B20" s="58">
        <f>'Copy Data &amp; calc S-N Ratio QC-B'!Z20</f>
        <v>-27.331080601187026</v>
      </c>
      <c r="C20" s="58"/>
      <c r="D20" s="58"/>
      <c r="E20" s="135"/>
      <c r="F20" s="59"/>
      <c r="G20" s="59">
        <f t="shared" si="1"/>
        <v>-27.331080601187026</v>
      </c>
      <c r="H20" s="136"/>
      <c r="I20" s="59"/>
      <c r="J20" s="59"/>
      <c r="K20" s="59">
        <f>B20</f>
        <v>-27.331080601187026</v>
      </c>
      <c r="L20" s="136"/>
      <c r="M20" s="60"/>
      <c r="N20" s="60"/>
      <c r="O20" s="60"/>
      <c r="P20" s="60"/>
      <c r="Q20" s="60"/>
      <c r="R20" s="60"/>
      <c r="S20" s="60">
        <f>B20</f>
        <v>-27.331080601187026</v>
      </c>
      <c r="T20" s="58"/>
      <c r="U20" s="59">
        <f>B20</f>
        <v>-27.331080601187026</v>
      </c>
      <c r="V20" s="59"/>
      <c r="W20" s="59"/>
      <c r="X20" s="136"/>
      <c r="Y20" s="59"/>
      <c r="Z20" s="59"/>
      <c r="AA20" s="59">
        <f>B20</f>
        <v>-27.331080601187026</v>
      </c>
      <c r="AB20" s="136"/>
      <c r="AC20" s="59"/>
      <c r="AD20" s="59">
        <f>B20</f>
        <v>-27.331080601187026</v>
      </c>
      <c r="AE20" s="59"/>
      <c r="AF20" s="136"/>
      <c r="AG20" s="59"/>
      <c r="AH20" s="59"/>
      <c r="AI20" s="59">
        <f>B20</f>
        <v>-27.331080601187026</v>
      </c>
      <c r="AJ20" s="136"/>
      <c r="AK20" s="59">
        <f>B20</f>
        <v>-27.331080601187026</v>
      </c>
      <c r="AL20" s="59"/>
      <c r="AM20" s="59"/>
      <c r="AN20" s="136"/>
      <c r="AO20" s="59"/>
      <c r="AP20" s="59">
        <f>B20</f>
        <v>-27.331080601187026</v>
      </c>
      <c r="AQ20" s="136"/>
      <c r="AR20" s="46"/>
      <c r="AS20" s="46"/>
    </row>
    <row r="21" spans="1:45" ht="12.75">
      <c r="A21" s="7">
        <v>17</v>
      </c>
      <c r="B21" s="58">
        <f>'Copy Data &amp; calc S-N Ratio QC-B'!Z21</f>
        <v>-71.50517913108035</v>
      </c>
      <c r="C21" s="58"/>
      <c r="D21" s="58"/>
      <c r="E21" s="135"/>
      <c r="F21" s="59"/>
      <c r="G21" s="59">
        <f t="shared" si="1"/>
        <v>-71.50517913108035</v>
      </c>
      <c r="H21" s="136"/>
      <c r="I21" s="59"/>
      <c r="J21" s="59"/>
      <c r="K21" s="59">
        <f>B21</f>
        <v>-71.50517913108035</v>
      </c>
      <c r="L21" s="136"/>
      <c r="M21" s="60"/>
      <c r="N21" s="60"/>
      <c r="O21" s="60"/>
      <c r="P21" s="60"/>
      <c r="Q21" s="60"/>
      <c r="R21" s="60"/>
      <c r="S21" s="60">
        <f>B21</f>
        <v>-71.50517913108035</v>
      </c>
      <c r="T21" s="58"/>
      <c r="U21" s="59"/>
      <c r="V21" s="59">
        <f>B21</f>
        <v>-71.50517913108035</v>
      </c>
      <c r="W21" s="59"/>
      <c r="X21" s="136"/>
      <c r="Y21" s="59">
        <f>B21</f>
        <v>-71.50517913108035</v>
      </c>
      <c r="Z21" s="59"/>
      <c r="AA21" s="59"/>
      <c r="AB21" s="136"/>
      <c r="AC21" s="59"/>
      <c r="AD21" s="59"/>
      <c r="AE21" s="59">
        <f>B21</f>
        <v>-71.50517913108035</v>
      </c>
      <c r="AF21" s="136"/>
      <c r="AG21" s="59">
        <f>B21</f>
        <v>-71.50517913108035</v>
      </c>
      <c r="AH21" s="59"/>
      <c r="AI21" s="59"/>
      <c r="AJ21" s="136"/>
      <c r="AK21" s="59"/>
      <c r="AL21" s="59">
        <f>B21</f>
        <v>-71.50517913108035</v>
      </c>
      <c r="AM21" s="59"/>
      <c r="AN21" s="136"/>
      <c r="AO21" s="59"/>
      <c r="AP21" s="59"/>
      <c r="AQ21" s="136">
        <f>B21</f>
        <v>-71.50517913108035</v>
      </c>
      <c r="AR21" s="46"/>
      <c r="AS21" s="46"/>
    </row>
    <row r="22" spans="1:45" ht="12.75">
      <c r="A22" s="7">
        <v>18</v>
      </c>
      <c r="B22" s="58">
        <f>'Copy Data &amp; calc S-N Ratio QC-B'!Z22</f>
        <v>-71.99572354905203</v>
      </c>
      <c r="C22" s="58"/>
      <c r="D22" s="58"/>
      <c r="E22" s="135"/>
      <c r="F22" s="59"/>
      <c r="G22" s="59">
        <f t="shared" si="1"/>
        <v>-71.99572354905203</v>
      </c>
      <c r="H22" s="136"/>
      <c r="I22" s="59"/>
      <c r="J22" s="59"/>
      <c r="K22" s="59">
        <f>B22</f>
        <v>-71.99572354905203</v>
      </c>
      <c r="L22" s="136"/>
      <c r="M22" s="60"/>
      <c r="N22" s="60"/>
      <c r="O22" s="60"/>
      <c r="P22" s="60"/>
      <c r="Q22" s="60"/>
      <c r="R22" s="60"/>
      <c r="S22" s="60">
        <f>B22</f>
        <v>-71.99572354905203</v>
      </c>
      <c r="T22" s="58"/>
      <c r="U22" s="59"/>
      <c r="V22" s="59"/>
      <c r="W22" s="59">
        <f>B22</f>
        <v>-71.99572354905203</v>
      </c>
      <c r="X22" s="136"/>
      <c r="Y22" s="59"/>
      <c r="Z22" s="59">
        <f>B22</f>
        <v>-71.99572354905203</v>
      </c>
      <c r="AA22" s="59"/>
      <c r="AB22" s="136"/>
      <c r="AC22" s="59">
        <f>B22</f>
        <v>-71.99572354905203</v>
      </c>
      <c r="AD22" s="59"/>
      <c r="AE22" s="59"/>
      <c r="AF22" s="136"/>
      <c r="AG22" s="59"/>
      <c r="AH22" s="59">
        <f>B22</f>
        <v>-71.99572354905203</v>
      </c>
      <c r="AI22" s="59"/>
      <c r="AJ22" s="136"/>
      <c r="AK22" s="59"/>
      <c r="AL22" s="59"/>
      <c r="AM22" s="59">
        <f>B22</f>
        <v>-71.99572354905203</v>
      </c>
      <c r="AN22" s="136"/>
      <c r="AO22" s="59">
        <f>B22</f>
        <v>-71.99572354905203</v>
      </c>
      <c r="AP22" s="59"/>
      <c r="AQ22" s="136"/>
      <c r="AR22" s="46"/>
      <c r="AS22" s="46"/>
    </row>
    <row r="23" spans="1:45" ht="12.75">
      <c r="A23" s="7"/>
      <c r="B23" s="58"/>
      <c r="C23" s="58"/>
      <c r="D23" s="58"/>
      <c r="E23" s="135"/>
      <c r="F23" s="59"/>
      <c r="G23" s="59"/>
      <c r="H23" s="136"/>
      <c r="I23" s="59"/>
      <c r="J23" s="59"/>
      <c r="K23" s="59"/>
      <c r="L23" s="136"/>
      <c r="M23" s="61"/>
      <c r="N23" s="61"/>
      <c r="O23" s="61"/>
      <c r="P23" s="61"/>
      <c r="Q23" s="61"/>
      <c r="R23" s="61"/>
      <c r="S23" s="61"/>
      <c r="T23" s="59"/>
      <c r="U23" s="59"/>
      <c r="V23" s="59"/>
      <c r="W23" s="59"/>
      <c r="X23" s="136"/>
      <c r="Y23" s="59"/>
      <c r="Z23" s="59"/>
      <c r="AA23" s="59"/>
      <c r="AB23" s="136"/>
      <c r="AC23" s="59"/>
      <c r="AD23" s="59"/>
      <c r="AE23" s="59"/>
      <c r="AF23" s="136"/>
      <c r="AG23" s="59"/>
      <c r="AH23" s="59"/>
      <c r="AI23" s="59"/>
      <c r="AJ23" s="136"/>
      <c r="AK23" s="59"/>
      <c r="AL23" s="59"/>
      <c r="AM23" s="59"/>
      <c r="AN23" s="136"/>
      <c r="AO23" s="59"/>
      <c r="AP23" s="59"/>
      <c r="AQ23" s="136"/>
      <c r="AR23" s="46"/>
      <c r="AS23" s="46"/>
    </row>
    <row r="24" spans="1:45" ht="12.75">
      <c r="A24" s="21" t="s">
        <v>9</v>
      </c>
      <c r="B24" s="63"/>
      <c r="C24" s="63"/>
      <c r="D24" s="63"/>
      <c r="E24" s="137"/>
      <c r="F24" s="65">
        <f>SUM(F5:F22)</f>
        <v>-432.21252090952515</v>
      </c>
      <c r="G24" s="65">
        <f>SUM(G5:G22)</f>
        <v>-384.33009227475065</v>
      </c>
      <c r="H24" s="138"/>
      <c r="I24" s="65">
        <f>SUM(I5:I22)</f>
        <v>-145.36497589164767</v>
      </c>
      <c r="J24" s="65">
        <f>SUM(J5:J22)</f>
        <v>-300.6236339062899</v>
      </c>
      <c r="K24" s="65">
        <f>SUM(K5:K22)</f>
        <v>-370.5540033863382</v>
      </c>
      <c r="L24" s="138"/>
      <c r="M24" s="66">
        <f>SUM(M5:M22)</f>
        <v>-81.96120447196387</v>
      </c>
      <c r="N24" s="66">
        <f>SUM(N5:N22)</f>
        <v>-150.52929633254251</v>
      </c>
      <c r="O24" s="66">
        <f>SUM(O5:O22)</f>
        <v>-199.72202010501877</v>
      </c>
      <c r="P24" s="66"/>
      <c r="Q24" s="66">
        <f>SUM(Q5:Q22)</f>
        <v>-63.40377141968381</v>
      </c>
      <c r="R24" s="66">
        <f>SUM(R5:R22)</f>
        <v>-150.09433757374742</v>
      </c>
      <c r="S24" s="66">
        <f>SUM(S5:S22)</f>
        <v>-170.83198328131942</v>
      </c>
      <c r="T24" s="67"/>
      <c r="U24" s="65">
        <f>SUM(U5:U22)</f>
        <v>-165.31157320117023</v>
      </c>
      <c r="V24" s="65">
        <f>SUM(V5:V22)</f>
        <v>-284.6510552412582</v>
      </c>
      <c r="W24" s="65">
        <f>SUM(W5:W22)</f>
        <v>-366.5799847418474</v>
      </c>
      <c r="X24" s="138"/>
      <c r="Y24" s="65">
        <f>SUM(Y5:Y22)</f>
        <v>-234.1662470766302</v>
      </c>
      <c r="Z24" s="65">
        <f>SUM(Z5:Z22)</f>
        <v>-335.9547945683937</v>
      </c>
      <c r="AA24" s="65">
        <f>SUM(AA5:AA22)</f>
        <v>-246.42157153925177</v>
      </c>
      <c r="AB24" s="138"/>
      <c r="AC24" s="65">
        <f>SUM(AC5:AC22)</f>
        <v>-235.2159377495094</v>
      </c>
      <c r="AD24" s="65">
        <f>SUM(AD5:AD22)</f>
        <v>-281.1122195310431</v>
      </c>
      <c r="AE24" s="65">
        <f>SUM(AE5:AE22)</f>
        <v>-300.2144559037233</v>
      </c>
      <c r="AF24" s="138"/>
      <c r="AG24" s="65">
        <f>SUM(AG5:AG22)</f>
        <v>-309.1464590105236</v>
      </c>
      <c r="AH24" s="65">
        <f>SUM(AH5:AH22)</f>
        <v>-243.2200413727328</v>
      </c>
      <c r="AI24" s="65">
        <f>SUM(AI5:AI22)</f>
        <v>-264.17611280101937</v>
      </c>
      <c r="AJ24" s="138"/>
      <c r="AK24" s="65">
        <f>SUM(AK5:AK22)</f>
        <v>-248.90245930354797</v>
      </c>
      <c r="AL24" s="65">
        <f>SUM(AL5:AL22)</f>
        <v>-298.56630094938566</v>
      </c>
      <c r="AM24" s="65">
        <f>SUM(AM5:AM22)</f>
        <v>-269.0738529313421</v>
      </c>
      <c r="AN24" s="138"/>
      <c r="AO24" s="65">
        <f>SUM(AO5:AO22)</f>
        <v>-273.3509897363995</v>
      </c>
      <c r="AP24" s="65">
        <f>SUM(AP5:AP22)</f>
        <v>-249.4838070370024</v>
      </c>
      <c r="AQ24" s="138">
        <f>SUM(AQ5:AQ22)</f>
        <v>-293.7078164108738</v>
      </c>
      <c r="AR24" s="46"/>
      <c r="AS24" s="46"/>
    </row>
    <row r="25" spans="1:45" ht="13.5" thickBot="1">
      <c r="A25" s="15" t="s">
        <v>181</v>
      </c>
      <c r="B25" s="69"/>
      <c r="C25" s="69"/>
      <c r="D25" s="139">
        <f>$B$30</f>
        <v>-45.36347851023755</v>
      </c>
      <c r="E25" s="140"/>
      <c r="F25" s="139">
        <f>AVERAGE(F5:F22)</f>
        <v>-48.023613434391685</v>
      </c>
      <c r="G25" s="139">
        <f>AVERAGE(G5:G22)</f>
        <v>-42.703343586083406</v>
      </c>
      <c r="H25" s="140"/>
      <c r="I25" s="139">
        <f>AVERAGE(I5:I22)</f>
        <v>-24.227495981941278</v>
      </c>
      <c r="J25" s="139">
        <f>AVERAGE(J5:J22)</f>
        <v>-50.10393898438165</v>
      </c>
      <c r="K25" s="139">
        <f>AVERAGE(K5:K22)</f>
        <v>-61.7590005643897</v>
      </c>
      <c r="L25" s="140"/>
      <c r="M25" s="141">
        <f>AVERAGE(M5:M22)</f>
        <v>-27.32040149065462</v>
      </c>
      <c r="N25" s="141">
        <f>AVERAGE(N5:N22)</f>
        <v>-50.17643211084751</v>
      </c>
      <c r="O25" s="141">
        <f>AVERAGE(O5:O22)</f>
        <v>-66.57400670167293</v>
      </c>
      <c r="P25" s="141"/>
      <c r="Q25" s="141">
        <f>AVERAGE(Q5:Q22)</f>
        <v>-21.134590473227934</v>
      </c>
      <c r="R25" s="141">
        <f>AVERAGE(R5:R22)</f>
        <v>-50.031445857915806</v>
      </c>
      <c r="S25" s="141">
        <f>AVERAGE(S5:S22)</f>
        <v>-56.943994427106475</v>
      </c>
      <c r="T25" s="139"/>
      <c r="U25" s="139">
        <f>AVERAGE(U5:U22)</f>
        <v>-27.551928866861704</v>
      </c>
      <c r="V25" s="139">
        <f>AVERAGE(V5:V22)</f>
        <v>-47.4418425402097</v>
      </c>
      <c r="W25" s="139">
        <f>AVERAGE(W5:W22)</f>
        <v>-61.09666412364123</v>
      </c>
      <c r="X25" s="140"/>
      <c r="Y25" s="139">
        <f>AVERAGE(Y5:Y22)</f>
        <v>-39.02770784610504</v>
      </c>
      <c r="Z25" s="139">
        <f>AVERAGE(Z5:Z22)</f>
        <v>-55.992465761398954</v>
      </c>
      <c r="AA25" s="139">
        <f>AVERAGE(AA5:AA22)</f>
        <v>-41.070261923208626</v>
      </c>
      <c r="AB25" s="140"/>
      <c r="AC25" s="139">
        <f>AVERAGE(AC5:AC22)</f>
        <v>-39.2026562915849</v>
      </c>
      <c r="AD25" s="139">
        <f>AVERAGE(AD5:AD22)</f>
        <v>-46.85203658850718</v>
      </c>
      <c r="AE25" s="139">
        <f>AVERAGE(AE5:AE22)</f>
        <v>-50.035742650620556</v>
      </c>
      <c r="AF25" s="140"/>
      <c r="AG25" s="139">
        <f>AVERAGE(AG5:AG22)</f>
        <v>-51.52440983508726</v>
      </c>
      <c r="AH25" s="139">
        <f>AVERAGE(AH5:AH22)</f>
        <v>-40.53667356212213</v>
      </c>
      <c r="AI25" s="139">
        <f>AVERAGE(AI5:AI22)</f>
        <v>-44.02935213350323</v>
      </c>
      <c r="AJ25" s="140"/>
      <c r="AK25" s="139">
        <f>AVERAGE(AK5:AK22)</f>
        <v>-41.483743217257995</v>
      </c>
      <c r="AL25" s="139">
        <f>AVERAGE(AL5:AL22)</f>
        <v>-49.761050158230944</v>
      </c>
      <c r="AM25" s="139">
        <f>AVERAGE(AM5:AM22)</f>
        <v>-44.845642155223686</v>
      </c>
      <c r="AN25" s="140"/>
      <c r="AO25" s="139">
        <f>AVERAGE(AO5:AO22)</f>
        <v>-45.55849828939992</v>
      </c>
      <c r="AP25" s="139">
        <f>AVERAGE(AP5:AP22)</f>
        <v>-41.580634506167065</v>
      </c>
      <c r="AQ25" s="140">
        <f>AVERAGE(AQ5:AQ22)</f>
        <v>-48.95130273514564</v>
      </c>
      <c r="AR25" s="46"/>
      <c r="AS25" s="74">
        <f>AVERAGE(F25:AQ25)</f>
        <v>-45.363478510237556</v>
      </c>
    </row>
    <row r="26" spans="1:45" ht="38.25">
      <c r="A26" s="246" t="s">
        <v>180</v>
      </c>
      <c r="B26" s="76"/>
      <c r="C26" s="76"/>
      <c r="D26" s="247">
        <v>70.70001740727227</v>
      </c>
      <c r="E26" s="247"/>
      <c r="F26" s="247">
        <f>F25</f>
        <v>-48.023613434391685</v>
      </c>
      <c r="G26" s="247">
        <f>G25</f>
        <v>-42.703343586083406</v>
      </c>
      <c r="H26" s="247"/>
      <c r="I26" s="247"/>
      <c r="J26" s="247"/>
      <c r="K26" s="247"/>
      <c r="L26" s="247"/>
      <c r="M26" s="248"/>
      <c r="N26" s="248"/>
      <c r="O26" s="248"/>
      <c r="P26" s="248"/>
      <c r="Q26" s="248"/>
      <c r="R26" s="248"/>
      <c r="S26" s="248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46"/>
      <c r="AS26" s="74"/>
    </row>
    <row r="27" spans="1:45" ht="38.25">
      <c r="A27" s="246" t="s">
        <v>179</v>
      </c>
      <c r="B27" s="76"/>
      <c r="C27" s="76"/>
      <c r="D27" s="247">
        <v>70.70001740727227</v>
      </c>
      <c r="E27" s="247"/>
      <c r="F27" s="247"/>
      <c r="G27" s="247"/>
      <c r="H27" s="247"/>
      <c r="I27" s="247">
        <f>I25</f>
        <v>-24.227495981941278</v>
      </c>
      <c r="J27" s="247">
        <f>J25</f>
        <v>-50.10393898438165</v>
      </c>
      <c r="K27" s="247">
        <f>K25</f>
        <v>-61.7590005643897</v>
      </c>
      <c r="L27" s="247"/>
      <c r="M27" s="247">
        <f>M25</f>
        <v>-27.32040149065462</v>
      </c>
      <c r="N27" s="247">
        <f>N25</f>
        <v>-50.17643211084751</v>
      </c>
      <c r="O27" s="247">
        <f>O25</f>
        <v>-66.57400670167293</v>
      </c>
      <c r="P27" s="248"/>
      <c r="Q27" s="247">
        <f>Q25</f>
        <v>-21.134590473227934</v>
      </c>
      <c r="R27" s="247">
        <f>R25</f>
        <v>-50.031445857915806</v>
      </c>
      <c r="S27" s="247">
        <f>S25</f>
        <v>-56.943994427106475</v>
      </c>
      <c r="T27" s="247"/>
      <c r="U27" s="247">
        <f>U25</f>
        <v>-27.551928866861704</v>
      </c>
      <c r="V27" s="247">
        <f>V25</f>
        <v>-47.4418425402097</v>
      </c>
      <c r="W27" s="247">
        <f>W25</f>
        <v>-61.09666412364123</v>
      </c>
      <c r="X27" s="247"/>
      <c r="Y27" s="247">
        <f>Y25</f>
        <v>-39.02770784610504</v>
      </c>
      <c r="Z27" s="247">
        <f>Z25</f>
        <v>-55.992465761398954</v>
      </c>
      <c r="AA27" s="247">
        <f>AA25</f>
        <v>-41.070261923208626</v>
      </c>
      <c r="AB27" s="247"/>
      <c r="AC27" s="247">
        <f>AC25</f>
        <v>-39.2026562915849</v>
      </c>
      <c r="AD27" s="247">
        <f>AD25</f>
        <v>-46.85203658850718</v>
      </c>
      <c r="AE27" s="247">
        <f>AE25</f>
        <v>-50.035742650620556</v>
      </c>
      <c r="AF27" s="247"/>
      <c r="AG27" s="247">
        <f>AG25</f>
        <v>-51.52440983508726</v>
      </c>
      <c r="AH27" s="247">
        <f>AH25</f>
        <v>-40.53667356212213</v>
      </c>
      <c r="AI27" s="247">
        <f>AI25</f>
        <v>-44.02935213350323</v>
      </c>
      <c r="AJ27" s="247"/>
      <c r="AK27" s="247">
        <f>AK25</f>
        <v>-41.483743217257995</v>
      </c>
      <c r="AL27" s="247">
        <f>AL25</f>
        <v>-49.761050158230944</v>
      </c>
      <c r="AM27" s="247">
        <f>AM25</f>
        <v>-44.845642155223686</v>
      </c>
      <c r="AN27" s="247"/>
      <c r="AO27" s="247">
        <f>AO25</f>
        <v>-45.55849828939992</v>
      </c>
      <c r="AP27" s="247">
        <f>AP25</f>
        <v>-41.580634506167065</v>
      </c>
      <c r="AQ27" s="247">
        <f>AQ25</f>
        <v>-48.95130273514564</v>
      </c>
      <c r="AR27" s="46"/>
      <c r="AS27" s="74"/>
    </row>
    <row r="28" spans="1:45" ht="12.75">
      <c r="A28" s="246" t="s">
        <v>182</v>
      </c>
      <c r="B28" s="76">
        <f>$B$30</f>
        <v>-45.36347851023755</v>
      </c>
      <c r="C28" s="76">
        <f aca="true" t="shared" si="2" ref="C28:AS28">$B$30</f>
        <v>-45.36347851023755</v>
      </c>
      <c r="D28" s="76">
        <f t="shared" si="2"/>
        <v>-45.36347851023755</v>
      </c>
      <c r="E28" s="76">
        <f t="shared" si="2"/>
        <v>-45.36347851023755</v>
      </c>
      <c r="F28" s="76">
        <f t="shared" si="2"/>
        <v>-45.36347851023755</v>
      </c>
      <c r="G28" s="76">
        <f t="shared" si="2"/>
        <v>-45.36347851023755</v>
      </c>
      <c r="H28" s="76">
        <f t="shared" si="2"/>
        <v>-45.36347851023755</v>
      </c>
      <c r="I28" s="76">
        <f t="shared" si="2"/>
        <v>-45.36347851023755</v>
      </c>
      <c r="J28" s="76">
        <f t="shared" si="2"/>
        <v>-45.36347851023755</v>
      </c>
      <c r="K28" s="76">
        <f t="shared" si="2"/>
        <v>-45.36347851023755</v>
      </c>
      <c r="L28" s="76">
        <f t="shared" si="2"/>
        <v>-45.36347851023755</v>
      </c>
      <c r="M28" s="76">
        <f t="shared" si="2"/>
        <v>-45.36347851023755</v>
      </c>
      <c r="N28" s="76">
        <f t="shared" si="2"/>
        <v>-45.36347851023755</v>
      </c>
      <c r="O28" s="76">
        <f t="shared" si="2"/>
        <v>-45.36347851023755</v>
      </c>
      <c r="P28" s="76">
        <f t="shared" si="2"/>
        <v>-45.36347851023755</v>
      </c>
      <c r="Q28" s="76">
        <f t="shared" si="2"/>
        <v>-45.36347851023755</v>
      </c>
      <c r="R28" s="76">
        <f t="shared" si="2"/>
        <v>-45.36347851023755</v>
      </c>
      <c r="S28" s="76">
        <f t="shared" si="2"/>
        <v>-45.36347851023755</v>
      </c>
      <c r="T28" s="76">
        <f t="shared" si="2"/>
        <v>-45.36347851023755</v>
      </c>
      <c r="U28" s="76">
        <f t="shared" si="2"/>
        <v>-45.36347851023755</v>
      </c>
      <c r="V28" s="76">
        <f t="shared" si="2"/>
        <v>-45.36347851023755</v>
      </c>
      <c r="W28" s="76">
        <f t="shared" si="2"/>
        <v>-45.36347851023755</v>
      </c>
      <c r="X28" s="76">
        <f t="shared" si="2"/>
        <v>-45.36347851023755</v>
      </c>
      <c r="Y28" s="76">
        <f t="shared" si="2"/>
        <v>-45.36347851023755</v>
      </c>
      <c r="Z28" s="76">
        <f t="shared" si="2"/>
        <v>-45.36347851023755</v>
      </c>
      <c r="AA28" s="76">
        <f t="shared" si="2"/>
        <v>-45.36347851023755</v>
      </c>
      <c r="AB28" s="76">
        <f t="shared" si="2"/>
        <v>-45.36347851023755</v>
      </c>
      <c r="AC28" s="76">
        <f t="shared" si="2"/>
        <v>-45.36347851023755</v>
      </c>
      <c r="AD28" s="76">
        <f t="shared" si="2"/>
        <v>-45.36347851023755</v>
      </c>
      <c r="AE28" s="76">
        <f t="shared" si="2"/>
        <v>-45.36347851023755</v>
      </c>
      <c r="AF28" s="76">
        <f t="shared" si="2"/>
        <v>-45.36347851023755</v>
      </c>
      <c r="AG28" s="76">
        <f t="shared" si="2"/>
        <v>-45.36347851023755</v>
      </c>
      <c r="AH28" s="76">
        <f t="shared" si="2"/>
        <v>-45.36347851023755</v>
      </c>
      <c r="AI28" s="76">
        <f t="shared" si="2"/>
        <v>-45.36347851023755</v>
      </c>
      <c r="AJ28" s="76">
        <f t="shared" si="2"/>
        <v>-45.36347851023755</v>
      </c>
      <c r="AK28" s="76">
        <f t="shared" si="2"/>
        <v>-45.36347851023755</v>
      </c>
      <c r="AL28" s="76">
        <f t="shared" si="2"/>
        <v>-45.36347851023755</v>
      </c>
      <c r="AM28" s="76">
        <f t="shared" si="2"/>
        <v>-45.36347851023755</v>
      </c>
      <c r="AN28" s="76">
        <f t="shared" si="2"/>
        <v>-45.36347851023755</v>
      </c>
      <c r="AO28" s="76">
        <f t="shared" si="2"/>
        <v>-45.36347851023755</v>
      </c>
      <c r="AP28" s="76">
        <f t="shared" si="2"/>
        <v>-45.36347851023755</v>
      </c>
      <c r="AQ28" s="76">
        <f t="shared" si="2"/>
        <v>-45.36347851023755</v>
      </c>
      <c r="AR28" s="76">
        <f t="shared" si="2"/>
        <v>-45.36347851023755</v>
      </c>
      <c r="AS28" s="76">
        <f t="shared" si="2"/>
        <v>-45.36347851023755</v>
      </c>
    </row>
    <row r="29" spans="2:45" ht="12.75">
      <c r="B29" s="84"/>
      <c r="C29" s="84"/>
      <c r="D29" s="84"/>
      <c r="E29" s="84"/>
      <c r="F29" s="46"/>
      <c r="G29" s="46"/>
      <c r="H29" s="46"/>
      <c r="I29" s="46"/>
      <c r="J29" s="74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1:45" ht="12.75">
      <c r="A30" s="6" t="s">
        <v>33</v>
      </c>
      <c r="B30" s="86">
        <f>AVERAGE(B5:B22)</f>
        <v>-45.36347851023755</v>
      </c>
      <c r="C30" s="86"/>
      <c r="D30" s="86">
        <f>$B$30</f>
        <v>-45.36347851023755</v>
      </c>
      <c r="E30" s="86"/>
      <c r="F30" s="86"/>
      <c r="G30" s="74">
        <f>AVERAGE(F25,G25)</f>
        <v>-45.36347851023754</v>
      </c>
      <c r="H30" s="74"/>
      <c r="I30" s="74"/>
      <c r="J30" s="74">
        <f>AVERAGE(I25,J25,K25)</f>
        <v>-45.36347851023754</v>
      </c>
      <c r="K30" s="74"/>
      <c r="L30" s="74"/>
      <c r="M30" s="74"/>
      <c r="N30" s="74"/>
      <c r="O30" s="74"/>
      <c r="P30" s="74"/>
      <c r="Q30" s="74">
        <f>AVERAGE(M25:S25)</f>
        <v>-45.36347851023754</v>
      </c>
      <c r="R30" s="74"/>
      <c r="S30" s="74"/>
      <c r="T30" s="74"/>
      <c r="U30" s="74"/>
      <c r="V30" s="74">
        <f>AVERAGE(U25,V25,W25)</f>
        <v>-45.36347851023754</v>
      </c>
      <c r="W30" s="74"/>
      <c r="X30" s="74"/>
      <c r="Y30" s="74"/>
      <c r="Z30" s="74">
        <f>AVERAGE(Y25,Z25,AA25)</f>
        <v>-45.36347851023754</v>
      </c>
      <c r="AA30" s="74"/>
      <c r="AB30" s="74"/>
      <c r="AC30" s="74"/>
      <c r="AD30" s="74">
        <f>AVERAGE(AC25,AD25,AE25)</f>
        <v>-45.36347851023755</v>
      </c>
      <c r="AE30" s="74"/>
      <c r="AF30" s="74"/>
      <c r="AG30" s="74"/>
      <c r="AH30" s="74">
        <f>AVERAGE(AG25,AH25,AI25)</f>
        <v>-45.36347851023754</v>
      </c>
      <c r="AI30" s="74"/>
      <c r="AJ30" s="74"/>
      <c r="AK30" s="74"/>
      <c r="AL30" s="74">
        <f>AVERAGE(AK25,AL25,AM25)</f>
        <v>-45.36347851023754</v>
      </c>
      <c r="AM30" s="74"/>
      <c r="AN30" s="74"/>
      <c r="AO30" s="74"/>
      <c r="AP30" s="74">
        <f>AVERAGE(AO25,AP25,AQ25)</f>
        <v>-45.36347851023754</v>
      </c>
      <c r="AQ30" s="74"/>
      <c r="AR30" s="46"/>
      <c r="AS30" s="46"/>
    </row>
    <row r="31" spans="1:45" ht="12.75">
      <c r="A31" s="6" t="s">
        <v>45</v>
      </c>
      <c r="B31" s="142">
        <f>SUMSQ(B5:B22)</f>
        <v>47231.25165853584</v>
      </c>
      <c r="C31" s="86"/>
      <c r="D31" s="86"/>
      <c r="E31" s="86"/>
      <c r="F31" s="14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74"/>
      <c r="AR31" s="46"/>
      <c r="AS31" s="46"/>
    </row>
    <row r="32" spans="1:45" ht="12.75">
      <c r="A32" s="18" t="s">
        <v>44</v>
      </c>
      <c r="B32" s="142">
        <f>B31-'L18-ARRAY'!J23*B30*B30</f>
        <v>10190.038372657727</v>
      </c>
      <c r="C32" s="88"/>
      <c r="D32" s="88"/>
      <c r="E32" s="88"/>
      <c r="F32" s="88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6" ht="12.75">
      <c r="A33" s="4"/>
      <c r="B33" s="4"/>
      <c r="C33" s="4"/>
      <c r="D33" s="4"/>
      <c r="E33" s="4"/>
      <c r="F33" s="4"/>
    </row>
    <row r="38" spans="1:6" ht="12.75">
      <c r="A38" s="6"/>
      <c r="B38" s="6"/>
      <c r="C38" s="6"/>
      <c r="D38" s="6"/>
      <c r="E38" s="6"/>
      <c r="F38" s="6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</sheetData>
  <sheetProtection password="F750" sheet="1" objects="1" scenarios="1"/>
  <mergeCells count="17">
    <mergeCell ref="AG2:AI2"/>
    <mergeCell ref="AK2:AM2"/>
    <mergeCell ref="AO2:AQ2"/>
    <mergeCell ref="Y2:AA2"/>
    <mergeCell ref="AC2:AE2"/>
    <mergeCell ref="F2:G2"/>
    <mergeCell ref="I2:K2"/>
    <mergeCell ref="M2:S2"/>
    <mergeCell ref="U2:W2"/>
    <mergeCell ref="AO3:AQ3"/>
    <mergeCell ref="AK3:AM3"/>
    <mergeCell ref="AG3:AI3"/>
    <mergeCell ref="AC3:AE3"/>
    <mergeCell ref="F3:G3"/>
    <mergeCell ref="I3:K3"/>
    <mergeCell ref="Y3:AA3"/>
    <mergeCell ref="U3:W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L18-smaller-the-better-Template</dc:title>
  <dc:subject>Taguchi Method Excel Sheets</dc:subject>
  <dc:creator>Prof P. R. Apte</dc:creator>
  <cp:keywords/>
  <dc:description/>
  <cp:lastModifiedBy>P.R. Apte</cp:lastModifiedBy>
  <dcterms:created xsi:type="dcterms:W3CDTF">2001-06-13T12:09:39Z</dcterms:created>
  <dcterms:modified xsi:type="dcterms:W3CDTF">2007-05-27T04:21:31Z</dcterms:modified>
  <cp:category/>
  <cp:version/>
  <cp:contentType/>
  <cp:contentStatus/>
</cp:coreProperties>
</file>